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-2" sheetId="11" r:id="rId11"/>
    <sheet name="січень 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<sst xmlns="http://schemas.openxmlformats.org/spreadsheetml/2006/main" count="1722" uniqueCount="324">
  <si>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</si>
  <si>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</si>
  <si>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</si>
  <si>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</si>
  <si>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</si>
  <si>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</si>
  <si>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</si>
  <si>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</si>
  <si>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</si>
  <si>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</si>
  <si>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</si>
  <si>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</si>
  <si>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</si>
  <si>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</si>
  <si>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</si>
  <si>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</si>
  <si>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</si>
  <si>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</si>
  <si>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</si>
  <si>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</si>
  <si>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</si>
  <si>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</si>
  <si>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</si>
  <si>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</si>
  <si>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</si>
  <si>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</si>
  <si>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</si>
  <si>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</si>
  <si>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</si>
  <si>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</si>
  <si>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</si>
  <si>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</si>
  <si>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</si>
  <si>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</si>
  <si>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</si>
  <si>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</si>
  <si>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</si>
  <si>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</si>
  <si>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</si>
  <si>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</si>
  <si>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</si>
  <si>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</si>
  <si>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</si>
  <si>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</si>
  <si>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</si>
  <si>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</si>
  <si>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</si>
  <si>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</si>
  <si>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</si>
  <si>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</si>
  <si>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</si>
  <si>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</si>
  <si>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</si>
  <si>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</si>
  <si>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</si>
  <si>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</si>
  <si>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</si>
  <si>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</si>
  <si>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</si>
  <si>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</si>
  <si>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</si>
  <si>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</si>
  <si>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</si>
  <si>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</si>
  <si>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</si>
  <si>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</si>
  <si>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</si>
  <si>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</si>
  <si>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</si>
  <si>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</si>
  <si>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</si>
  <si>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</si>
  <si>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</si>
  <si>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</si>
  <si>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</si>
  <si>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</si>
  <si>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</si>
  <si>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</si>
  <si>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</si>
  <si>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</si>
  <si>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</si>
  <si>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</si>
  <si>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</si>
  <si>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</si>
  <si>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</si>
  <si>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</si>
  <si>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</si>
  <si>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</si>
  <si>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</si>
  <si>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</si>
  <si>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</si>
  <si>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</si>
  <si>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</si>
  <si>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</si>
  <si>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</si>
  <si>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</si>
  <si>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</si>
  <si>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</si>
  <si>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</si>
  <si>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</si>
  <si>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</si>
  <si>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</si>
  <si>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</si>
  <si>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</si>
  <si>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</si>
  <si>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</si>
  <si>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</si>
  <si>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</si>
  <si>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</si>
  <si>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</si>
  <si>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</si>
  <si>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</si>
  <si>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</si>
  <si>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</si>
  <si>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</si>
  <si>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</si>
  <si>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</si>
  <si>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</si>
  <si>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</si>
  <si>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</si>
  <si>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</si>
  <si>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</si>
  <si>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</si>
  <si>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</si>
  <si>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</si>
  <si>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</si>
  <si>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</si>
  <si>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</si>
  <si>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</si>
  <si>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</si>
  <si>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</si>
  <si>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</si>
  <si>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</si>
  <si>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</si>
  <si>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</si>
  <si>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</si>
  <si>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</si>
  <si>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</si>
  <si>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</si>
  <si>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</si>
  <si>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</si>
  <si>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</si>
  <si>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</si>
  <si>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</si>
  <si>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</si>
  <si>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</si>
  <si>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</si>
  <si>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</si>
  <si>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</si>
  <si>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</si>
  <si>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</si>
  <si>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</si>
  <si>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</si>
  <si>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</si>
  <si>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</si>
  <si>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</si>
  <si>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</si>
  <si>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</si>
  <si>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</si>
  <si>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</si>
  <si>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</si>
  <si>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</si>
  <si>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</si>
  <si>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</si>
  <si>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</si>
  <si>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</si>
  <si>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</si>
  <si>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</si>
  <si>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</si>
  <si>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</si>
  <si>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</si>
  <si>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</si>
  <si>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</si>
  <si>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</si>
  <si>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</si>
  <si>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</si>
  <si>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</si>
  <si>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</si>
  <si>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</si>
  <si>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</si>
  <si>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</si>
  <si>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</si>
  <si>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</si>
  <si>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</si>
  <si>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</si>
  <si>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</si>
  <si>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</si>
  <si>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</si>
  <si>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</si>
  <si>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</si>
  <si>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</si>
  <si>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</si>
  <si>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</si>
  <si>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</si>
  <si>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</si>
  <si>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</si>
  <si>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</si>
  <si>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</si>
  <si>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</si>
  <si>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</si>
  <si>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</si>
  <si>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</si>
  <si>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</si>
  <si>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</si>
  <si>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</si>
  <si>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</si>
  <si>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</si>
  <si>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</si>
  <si>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</si>
  <si>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</si>
  <si>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</si>
  <si>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</si>
  <si>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</si>
  <si>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</si>
  <si>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</si>
  <si>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</si>
  <si>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</si>
  <si>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</si>
  <si>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</si>
  <si>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</si>
  <si>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</si>
  <si>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</si>
  <si>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</si>
  <si>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</si>
  <si>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</si>
  <si>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</si>
  <si>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</si>
  <si>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</si>
  <si>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</si>
  <si>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</si>
  <si>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</si>
  <si>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</si>
  <si>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</si>
  <si>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</si>
  <si>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</si>
  <si>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</si>
  <si>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</si>
  <si>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</si>
  <si>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</si>
  <si>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</si>
  <si>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</si>
  <si>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</si>
  <si>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</si>
  <si>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</si>
  <si>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</si>
  <si>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</si>
  <si>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</si>
  <si>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</si>
  <si>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</si>
  <si>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</si>
  <si>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</si>
  <si>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</si>
  <si>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</si>
  <si>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</si>
  <si>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</si>
  <si>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</si>
  <si>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</si>
  <si>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</si>
  <si>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</si>
  <si>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</si>
  <si>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</si>
  <si>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</si>
  <si>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</si>
  <si>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</si>
  <si>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</si>
  <si>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</si>
  <si>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</si>
  <si>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</si>
  <si>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</si>
  <si>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</si>
  <si>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</si>
  <si>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</si>
  <si>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</si>
  <si>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</si>
  <si>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</si>
  <si>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</si>
  <si>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</si>
  <si>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</si>
  <si>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</si>
  <si>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</si>
  <si>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</si>
  <si>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</si>
  <si>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</si>
  <si>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</si>
  <si>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</si>
  <si>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</si>
  <si>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</si>
  <si>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</si>
  <si>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</si>
  <si>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</si>
  <si>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</si>
  <si>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</si>
  <si>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</si>
  <si>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</si>
  <si>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</si>
  <si>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</si>
  <si>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</si>
  <si>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</si>
  <si>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</si>
  <si>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</si>
  <si>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</si>
  <si>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</si>
  <si>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</si>
  <si>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</si>
  <si>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</si>
  <si>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</si>
  <si>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30.09.15 </t>
    </r>
    <r>
      <rPr>
        <b/>
        <sz val="10"/>
        <rFont val="Times New Roman"/>
        <family val="1"/>
      </rPr>
      <t>включно</t>
    </r>
  </si>
  <si>
    <t>Уточнений план  на січень-жовтень</t>
  </si>
  <si>
    <t>Необхідно ще отримати до плану на січень-жовтень</t>
  </si>
  <si>
    <t>% виконання до плану на січень-жовтень</t>
  </si>
  <si>
    <r>
      <t>Динаміка  фактичних надходжень січень-жовтень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</si>
  <si>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</si>
  <si>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</si>
  <si>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</si>
  <si>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30.10.15 </t>
    </r>
    <r>
      <rPr>
        <b/>
        <sz val="10"/>
        <rFont val="Times New Roman"/>
        <family val="1"/>
      </rPr>
      <t>включно</t>
    </r>
  </si>
  <si>
    <t>Уточнений план  на січень-листопад</t>
  </si>
  <si>
    <t>Необхідно ще отримати до плану на січень-листопад</t>
  </si>
  <si>
    <t>% виконання до плану на січень-листопад</t>
  </si>
  <si>
    <r>
      <t>Динаміка  фактичних надходжень січень-листопад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</si>
  <si>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 місяць  </t>
    </r>
  </si>
  <si>
    <t>Виконано у листопаді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</si>
  <si>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</si>
  <si>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13.11.2015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</si>
  <si>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12.11.15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</si>
</sst>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174" fontId="40" fillId="0" borderId="1" xfId="0" applyNumberFormat="1" applyFont="1" applyBorder="1" applyAlignment="1" applyProtection="1">
      <alignment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4" fontId="14" fillId="0" borderId="0" xfId="20" applyNumberFormat="1" applyFont="1" applyAlignment="1" applyProtection="1">
      <alignment horizontal="center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3" sqref="D83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87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9" t="s">
        <v>322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117"/>
      <c r="R1" s="118"/>
    </row>
    <row r="2" spans="2:18" s="1" customFormat="1" ht="15.75" customHeight="1">
      <c r="B2" s="230"/>
      <c r="C2" s="230"/>
      <c r="D2" s="230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1"/>
      <c r="B3" s="233"/>
      <c r="C3" s="234" t="s">
        <v>0</v>
      </c>
      <c r="D3" s="235" t="s">
        <v>261</v>
      </c>
      <c r="E3" s="40"/>
      <c r="F3" s="236" t="s">
        <v>107</v>
      </c>
      <c r="G3" s="237"/>
      <c r="H3" s="237"/>
      <c r="I3" s="237"/>
      <c r="J3" s="238"/>
      <c r="K3" s="114"/>
      <c r="L3" s="114"/>
      <c r="M3" s="239" t="s">
        <v>319</v>
      </c>
      <c r="N3" s="242" t="s">
        <v>320</v>
      </c>
      <c r="O3" s="242"/>
      <c r="P3" s="242"/>
      <c r="Q3" s="242"/>
      <c r="R3" s="242"/>
    </row>
    <row r="4" spans="1:18" ht="22.5" customHeight="1">
      <c r="A4" s="231"/>
      <c r="B4" s="233"/>
      <c r="C4" s="234"/>
      <c r="D4" s="235"/>
      <c r="E4" s="225" t="s">
        <v>315</v>
      </c>
      <c r="F4" s="244" t="s">
        <v>116</v>
      </c>
      <c r="G4" s="246" t="s">
        <v>316</v>
      </c>
      <c r="H4" s="248" t="s">
        <v>317</v>
      </c>
      <c r="I4" s="250" t="s">
        <v>217</v>
      </c>
      <c r="J4" s="240" t="s">
        <v>218</v>
      </c>
      <c r="K4" s="116" t="s">
        <v>172</v>
      </c>
      <c r="L4" s="121" t="s">
        <v>171</v>
      </c>
      <c r="M4" s="240"/>
      <c r="N4" s="256" t="s">
        <v>323</v>
      </c>
      <c r="O4" s="250" t="s">
        <v>136</v>
      </c>
      <c r="P4" s="258" t="s">
        <v>135</v>
      </c>
      <c r="Q4" s="122" t="s">
        <v>172</v>
      </c>
      <c r="R4" s="123" t="s">
        <v>171</v>
      </c>
    </row>
    <row r="5" spans="1:19" ht="92.25" customHeight="1">
      <c r="A5" s="232"/>
      <c r="B5" s="233"/>
      <c r="C5" s="234"/>
      <c r="D5" s="235"/>
      <c r="E5" s="226"/>
      <c r="F5" s="245"/>
      <c r="G5" s="247"/>
      <c r="H5" s="249"/>
      <c r="I5" s="251"/>
      <c r="J5" s="241"/>
      <c r="K5" s="227" t="s">
        <v>318</v>
      </c>
      <c r="L5" s="243"/>
      <c r="M5" s="241"/>
      <c r="N5" s="257"/>
      <c r="O5" s="251"/>
      <c r="P5" s="258"/>
      <c r="Q5" s="227" t="s">
        <v>176</v>
      </c>
      <c r="R5" s="24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540643.5700000001</v>
      </c>
      <c r="F8" s="18">
        <f>F9+F15+F18+F19+F20+F32+F17</f>
        <v>565505.84</v>
      </c>
      <c r="G8" s="18">
        <f aca="true" t="shared" si="0" ref="G8:G54">F8-E8</f>
        <v>24862.269999999902</v>
      </c>
      <c r="H8" s="45">
        <f>F8/E8*100</f>
        <v>104.59864342786874</v>
      </c>
      <c r="I8" s="31">
        <f aca="true" t="shared" si="1" ref="I8:I54">F8-D8</f>
        <v>-6783.160000000033</v>
      </c>
      <c r="J8" s="31">
        <f aca="true" t="shared" si="2" ref="J8:J14">F8/D8*100</f>
        <v>98.81473171771604</v>
      </c>
      <c r="K8" s="18">
        <f>K9+K15+K18+K19+K20+K32</f>
        <v>119481.88599999998</v>
      </c>
      <c r="L8" s="18"/>
      <c r="M8" s="18">
        <f>M9+M15+M18+M19+M20+M32+M17</f>
        <v>37118.100000000006</v>
      </c>
      <c r="N8" s="18">
        <f>N9+N15+N18+N19+N20+N32+N17</f>
        <v>22919.60999999999</v>
      </c>
      <c r="O8" s="31">
        <f aca="true" t="shared" si="3" ref="O8:O54">N8-M8</f>
        <v>-14198.490000000016</v>
      </c>
      <c r="P8" s="31">
        <f>F8/M8*100</f>
        <v>1523.5312152292274</v>
      </c>
      <c r="Q8" s="31">
        <f>N8-33748.16</f>
        <v>-10828.550000000014</v>
      </c>
      <c r="R8" s="125">
        <f>N8/33748.16</f>
        <v>0.6791365810758272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289967.12</v>
      </c>
      <c r="F9" s="143">
        <v>309102.92</v>
      </c>
      <c r="G9" s="43">
        <f t="shared" si="0"/>
        <v>19135.79999999999</v>
      </c>
      <c r="H9" s="35">
        <f aca="true" t="shared" si="4" ref="H9:H38">F9/E9*100</f>
        <v>106.59929994821482</v>
      </c>
      <c r="I9" s="50">
        <f t="shared" si="1"/>
        <v>-3587.0800000000163</v>
      </c>
      <c r="J9" s="50">
        <f t="shared" si="2"/>
        <v>98.85283187821804</v>
      </c>
      <c r="K9" s="132">
        <f>F9-349197.38/75*60</f>
        <v>29745.016000000003</v>
      </c>
      <c r="L9" s="132">
        <f>F9/(349197.38/75*60)*100</f>
        <v>110.64763716153885</v>
      </c>
      <c r="M9" s="35">
        <f>E9-жовтень!E9</f>
        <v>20102</v>
      </c>
      <c r="N9" s="35">
        <f>F9-жовтень!F9</f>
        <v>12827.589999999967</v>
      </c>
      <c r="O9" s="47">
        <f t="shared" si="3"/>
        <v>-7274.410000000033</v>
      </c>
      <c r="P9" s="50">
        <f aca="true" t="shared" si="5" ref="P9:P32">N9/M9*100</f>
        <v>63.81250621828658</v>
      </c>
      <c r="Q9" s="132">
        <f>N9-26568.11</f>
        <v>-13740.520000000033</v>
      </c>
      <c r="R9" s="133">
        <f>N9/26568.11</f>
        <v>0.4828190639078191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252360.82</v>
      </c>
      <c r="F10" s="144">
        <v>274433.34</v>
      </c>
      <c r="G10" s="135">
        <f t="shared" si="0"/>
        <v>22072.52000000002</v>
      </c>
      <c r="H10" s="137">
        <f t="shared" si="4"/>
        <v>108.74641317142655</v>
      </c>
      <c r="I10" s="136">
        <f t="shared" si="1"/>
        <v>34023.340000000026</v>
      </c>
      <c r="J10" s="136">
        <f t="shared" si="2"/>
        <v>114.15221496609959</v>
      </c>
      <c r="K10" s="138">
        <f>F10-310040.1/75*60</f>
        <v>26401.260000000068</v>
      </c>
      <c r="L10" s="138">
        <f>F10/(310040.1/75*60)*100</f>
        <v>110.64429246410386</v>
      </c>
      <c r="M10" s="137">
        <f>E10-жовтень!E10</f>
        <v>16400</v>
      </c>
      <c r="N10" s="137">
        <f>F10-жовтень!F10</f>
        <v>11798.059999999998</v>
      </c>
      <c r="O10" s="138">
        <f t="shared" si="3"/>
        <v>-4601.940000000002</v>
      </c>
      <c r="P10" s="136">
        <f t="shared" si="5"/>
        <v>71.93939024390242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20969.9</v>
      </c>
      <c r="F11" s="144">
        <v>15948.16</v>
      </c>
      <c r="G11" s="135">
        <f t="shared" si="0"/>
        <v>-5021.740000000002</v>
      </c>
      <c r="H11" s="137">
        <f t="shared" si="4"/>
        <v>76.05262781415266</v>
      </c>
      <c r="I11" s="136">
        <f t="shared" si="1"/>
        <v>-7751.84</v>
      </c>
      <c r="J11" s="136">
        <f t="shared" si="2"/>
        <v>67.29181434599157</v>
      </c>
      <c r="K11" s="138">
        <f>F11-24192.03/75*60</f>
        <v>-3405.4639999999963</v>
      </c>
      <c r="L11" s="138">
        <f>F11/(24192.03/75*60)*100</f>
        <v>82.4039983416026</v>
      </c>
      <c r="M11" s="137">
        <f>E11-жовтень!E11</f>
        <v>2052</v>
      </c>
      <c r="N11" s="137">
        <f>F11-жовтень!F11</f>
        <v>139.11999999999898</v>
      </c>
      <c r="O11" s="138">
        <f t="shared" si="3"/>
        <v>-1912.880000000001</v>
      </c>
      <c r="P11" s="136">
        <f t="shared" si="5"/>
        <v>6.7797270955165185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4869</v>
      </c>
      <c r="F12" s="144">
        <v>4387.18</v>
      </c>
      <c r="G12" s="135">
        <f t="shared" si="0"/>
        <v>-481.8199999999997</v>
      </c>
      <c r="H12" s="137">
        <f t="shared" si="4"/>
        <v>90.10433353871431</v>
      </c>
      <c r="I12" s="136">
        <f t="shared" si="1"/>
        <v>-1412.8199999999997</v>
      </c>
      <c r="J12" s="136">
        <f t="shared" si="2"/>
        <v>75.64103448275863</v>
      </c>
      <c r="K12" s="138">
        <f>F12-6123.95/75*60</f>
        <v>-511.97999999999956</v>
      </c>
      <c r="L12" s="138">
        <f>F12/(6123.95*60)*100</f>
        <v>1.1939951610752322</v>
      </c>
      <c r="M12" s="137">
        <f>E12-жовтень!E12</f>
        <v>420</v>
      </c>
      <c r="N12" s="137">
        <f>F12-жовтень!F12</f>
        <v>218.03999999999996</v>
      </c>
      <c r="O12" s="138">
        <f t="shared" si="3"/>
        <v>-201.96000000000004</v>
      </c>
      <c r="P12" s="136">
        <f t="shared" si="5"/>
        <v>51.914285714285704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7783.4</v>
      </c>
      <c r="F13" s="144">
        <v>6455.72</v>
      </c>
      <c r="G13" s="135">
        <f t="shared" si="0"/>
        <v>-1327.6799999999994</v>
      </c>
      <c r="H13" s="137">
        <f t="shared" si="4"/>
        <v>82.94215895367064</v>
      </c>
      <c r="I13" s="136">
        <f t="shared" si="1"/>
        <v>-1944.2799999999997</v>
      </c>
      <c r="J13" s="136">
        <f t="shared" si="2"/>
        <v>76.85380952380953</v>
      </c>
      <c r="K13" s="138">
        <f>F13-8694.58/75*60</f>
        <v>-499.9439999999995</v>
      </c>
      <c r="L13" s="138">
        <f>F13/(8694.58/75*60)*100</f>
        <v>92.81241877123449</v>
      </c>
      <c r="M13" s="137">
        <f>E13-жовтень!E13</f>
        <v>840</v>
      </c>
      <c r="N13" s="137">
        <f>F13-жовтень!F13</f>
        <v>356.85000000000036</v>
      </c>
      <c r="O13" s="138">
        <f t="shared" si="3"/>
        <v>-483.14999999999964</v>
      </c>
      <c r="P13" s="136">
        <f t="shared" si="5"/>
        <v>42.482142857142904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3984</v>
      </c>
      <c r="F14" s="144">
        <v>7878.52</v>
      </c>
      <c r="G14" s="135">
        <f t="shared" si="0"/>
        <v>3894.5200000000004</v>
      </c>
      <c r="H14" s="137">
        <f t="shared" si="4"/>
        <v>197.75401606425703</v>
      </c>
      <c r="I14" s="136">
        <f t="shared" si="1"/>
        <v>3498.5200000000004</v>
      </c>
      <c r="J14" s="136">
        <f t="shared" si="2"/>
        <v>179.87488584474886</v>
      </c>
      <c r="K14" s="138">
        <f>F14-146.72/75*60</f>
        <v>7761.144</v>
      </c>
      <c r="L14" s="138">
        <f>F14/(146.72/75*60)*100</f>
        <v>6712.206924754635</v>
      </c>
      <c r="M14" s="137">
        <f>E14-жовтень!E14</f>
        <v>390</v>
      </c>
      <c r="N14" s="137">
        <f>F14-жовтень!F14</f>
        <v>315.5500000000002</v>
      </c>
      <c r="O14" s="138">
        <f t="shared" si="3"/>
        <v>-74.44999999999982</v>
      </c>
      <c r="P14" s="136">
        <f t="shared" si="5"/>
        <v>80.91025641025645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-584.38</v>
      </c>
      <c r="G15" s="43">
        <f t="shared" si="0"/>
        <v>-755.78</v>
      </c>
      <c r="H15" s="35"/>
      <c r="I15" s="50">
        <f t="shared" si="1"/>
        <v>-584.38</v>
      </c>
      <c r="J15" s="50" t="e">
        <f>F15/D15*100</f>
        <v>#DIV/0!</v>
      </c>
      <c r="K15" s="53">
        <f>F15-(-1352.56)</f>
        <v>768.18</v>
      </c>
      <c r="L15" s="53">
        <f>F15/(-1352.56)*100</f>
        <v>43.20547702135211</v>
      </c>
      <c r="M15" s="35">
        <f>E15-жовтень!E15</f>
        <v>0</v>
      </c>
      <c r="N15" s="35">
        <f>F15-жовтень!F15</f>
        <v>6.490000000000009</v>
      </c>
      <c r="O15" s="47">
        <f t="shared" si="3"/>
        <v>6.490000000000009</v>
      </c>
      <c r="P15" s="50"/>
      <c r="Q15" s="50">
        <f>N15-358.81</f>
        <v>-352.32</v>
      </c>
      <c r="R15" s="126">
        <f>N15/358.81</f>
        <v>0.018087567236141716</v>
      </c>
    </row>
    <row r="16" spans="1:18" s="6" customFormat="1" ht="15.7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 t="shared" si="0"/>
        <v>0</v>
      </c>
      <c r="H16" s="137"/>
      <c r="I16" s="136">
        <f t="shared" si="1"/>
        <v>0</v>
      </c>
      <c r="J16" s="136"/>
      <c r="K16" s="138">
        <f>F16-(-381.9)</f>
        <v>381.9</v>
      </c>
      <c r="L16" s="138">
        <f>F16/(-381.9)*100</f>
        <v>0</v>
      </c>
      <c r="M16" s="35">
        <f>E16-жовтень!E16</f>
        <v>0</v>
      </c>
      <c r="N16" s="35">
        <f>F16-жовтень!F16</f>
        <v>0</v>
      </c>
      <c r="O16" s="138">
        <f t="shared" si="3"/>
        <v>0</v>
      </c>
      <c r="P16" s="50"/>
      <c r="Q16" s="136">
        <f>N16-358.81</f>
        <v>-358.81</v>
      </c>
      <c r="R16" s="141">
        <f>N16/358.79</f>
        <v>0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0.14</v>
      </c>
      <c r="G17" s="135"/>
      <c r="H17" s="137"/>
      <c r="I17" s="136"/>
      <c r="J17" s="136"/>
      <c r="K17" s="138">
        <f>F17-0.04</f>
        <v>0.1</v>
      </c>
      <c r="L17" s="138"/>
      <c r="M17" s="35">
        <f>E17-жовтень!E17</f>
        <v>0</v>
      </c>
      <c r="N17" s="35">
        <f>F17-жовтень!F17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19</v>
      </c>
      <c r="F18" s="143">
        <v>107.4</v>
      </c>
      <c r="G18" s="43">
        <f t="shared" si="0"/>
        <v>88.4</v>
      </c>
      <c r="H18" s="35">
        <f t="shared" si="4"/>
        <v>565.2631578947369</v>
      </c>
      <c r="I18" s="50">
        <f t="shared" si="1"/>
        <v>88.4</v>
      </c>
      <c r="J18" s="50">
        <f>F18/D18*100</f>
        <v>565.2631578947369</v>
      </c>
      <c r="K18" s="53">
        <f>F18-31.36</f>
        <v>76.04</v>
      </c>
      <c r="L18" s="138">
        <f>F18/31.36*100</f>
        <v>342.4744897959184</v>
      </c>
      <c r="M18" s="35">
        <f>E18-жовтень!E18</f>
        <v>6</v>
      </c>
      <c r="N18" s="35">
        <f>F18-жовтень!F18</f>
        <v>91.60000000000001</v>
      </c>
      <c r="O18" s="47">
        <f t="shared" si="3"/>
        <v>85.60000000000001</v>
      </c>
      <c r="P18" s="50">
        <f t="shared" si="5"/>
        <v>1526.6666666666667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61662.75</v>
      </c>
      <c r="F19" s="168">
        <v>58627.7</v>
      </c>
      <c r="G19" s="43">
        <f t="shared" si="0"/>
        <v>-3035.050000000003</v>
      </c>
      <c r="H19" s="35">
        <f t="shared" si="4"/>
        <v>95.07798468281094</v>
      </c>
      <c r="I19" s="50">
        <f t="shared" si="1"/>
        <v>-3582.300000000003</v>
      </c>
      <c r="J19" s="178">
        <f>F19/D19*100</f>
        <v>94.2416010287735</v>
      </c>
      <c r="K19" s="179">
        <f>F19-0</f>
        <v>58627.7</v>
      </c>
      <c r="L19" s="180"/>
      <c r="M19" s="35">
        <f>E19-жовтень!E19</f>
        <v>4140</v>
      </c>
      <c r="N19" s="35">
        <f>F19-жовтень!F19</f>
        <v>142.64999999999418</v>
      </c>
      <c r="O19" s="47">
        <f t="shared" si="3"/>
        <v>-3997.350000000006</v>
      </c>
      <c r="P19" s="50">
        <f t="shared" si="5"/>
        <v>3.4456521739129027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181323.5</v>
      </c>
      <c r="F20" s="169">
        <f>F21+F25+F27+F26</f>
        <v>192660.09</v>
      </c>
      <c r="G20" s="43">
        <f t="shared" si="0"/>
        <v>11336.589999999997</v>
      </c>
      <c r="H20" s="35">
        <f t="shared" si="4"/>
        <v>106.25213499629116</v>
      </c>
      <c r="I20" s="50">
        <f t="shared" si="1"/>
        <v>2790.0899999999965</v>
      </c>
      <c r="J20" s="178">
        <f aca="true" t="shared" si="6" ref="J20:J46">F20/D20*100</f>
        <v>101.46947385052931</v>
      </c>
      <c r="K20" s="178">
        <f>K21+K25+K26+K27</f>
        <v>32051.939999999995</v>
      </c>
      <c r="L20" s="136"/>
      <c r="M20" s="35">
        <f>E20-жовтень!E20</f>
        <v>11129.600000000006</v>
      </c>
      <c r="N20" s="35">
        <f>F20-жовтень!F20</f>
        <v>9845.060000000027</v>
      </c>
      <c r="O20" s="47">
        <f t="shared" si="3"/>
        <v>-1284.539999999979</v>
      </c>
      <c r="P20" s="50">
        <f t="shared" si="5"/>
        <v>88.4583453133987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104515</v>
      </c>
      <c r="F21" s="169">
        <f>F22+F23+F24</f>
        <v>101982.45999999999</v>
      </c>
      <c r="G21" s="43">
        <f t="shared" si="0"/>
        <v>-2532.540000000008</v>
      </c>
      <c r="H21" s="35">
        <f t="shared" si="4"/>
        <v>97.57686456489498</v>
      </c>
      <c r="I21" s="50">
        <f t="shared" si="1"/>
        <v>-8317.540000000008</v>
      </c>
      <c r="J21" s="178">
        <f t="shared" si="6"/>
        <v>92.4591659111514</v>
      </c>
      <c r="K21" s="178">
        <f>K22+K23+K24</f>
        <v>26529.719999999998</v>
      </c>
      <c r="L21" s="136"/>
      <c r="M21" s="35">
        <f>E21-жовтень!E21</f>
        <v>8232.600000000006</v>
      </c>
      <c r="N21" s="35">
        <f>F21-жовтень!F21</f>
        <v>1207.6699999999983</v>
      </c>
      <c r="O21" s="47">
        <f t="shared" si="3"/>
        <v>-7024.930000000008</v>
      </c>
      <c r="P21" s="50">
        <f t="shared" si="5"/>
        <v>14.669363263124618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10600+100</f>
        <v>10700</v>
      </c>
      <c r="F22" s="144">
        <v>12604.14</v>
      </c>
      <c r="G22" s="135">
        <f t="shared" si="0"/>
        <v>1904.1399999999994</v>
      </c>
      <c r="H22" s="137">
        <f t="shared" si="4"/>
        <v>117.79570093457943</v>
      </c>
      <c r="I22" s="136">
        <f t="shared" si="1"/>
        <v>1904.1399999999994</v>
      </c>
      <c r="J22" s="136">
        <f t="shared" si="6"/>
        <v>117.79570093457943</v>
      </c>
      <c r="K22" s="136">
        <f>F22-454.97</f>
        <v>12149.17</v>
      </c>
      <c r="L22" s="136">
        <f>F22/454.97*100</f>
        <v>2770.323318020968</v>
      </c>
      <c r="M22" s="137">
        <f>E22-жовтень!E22</f>
        <v>54.600000000000364</v>
      </c>
      <c r="N22" s="137">
        <f>F22-жовтень!F22</f>
        <v>118.01000000000022</v>
      </c>
      <c r="O22" s="138">
        <f t="shared" si="3"/>
        <v>63.409999999999854</v>
      </c>
      <c r="P22" s="136">
        <f t="shared" si="5"/>
        <v>216.1355311355301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2100</v>
      </c>
      <c r="F23" s="144">
        <v>3553.96</v>
      </c>
      <c r="G23" s="135">
        <f t="shared" si="0"/>
        <v>1453.96</v>
      </c>
      <c r="H23" s="137">
        <f t="shared" si="4"/>
        <v>169.23619047619047</v>
      </c>
      <c r="I23" s="136">
        <f t="shared" si="1"/>
        <v>1453.96</v>
      </c>
      <c r="J23" s="136">
        <f t="shared" si="6"/>
        <v>169.23619047619047</v>
      </c>
      <c r="K23" s="136">
        <f>F23-0</f>
        <v>3553.96</v>
      </c>
      <c r="L23" s="136"/>
      <c r="M23" s="137">
        <f>E23-жовтень!E23</f>
        <v>8</v>
      </c>
      <c r="N23" s="137">
        <f>F23-жовтень!F23</f>
        <v>60</v>
      </c>
      <c r="O23" s="138">
        <f t="shared" si="3"/>
        <v>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91715</v>
      </c>
      <c r="F24" s="144">
        <v>85824.36</v>
      </c>
      <c r="G24" s="135">
        <f t="shared" si="0"/>
        <v>-5890.639999999999</v>
      </c>
      <c r="H24" s="137">
        <f t="shared" si="4"/>
        <v>93.57723382216649</v>
      </c>
      <c r="I24" s="136">
        <f t="shared" si="1"/>
        <v>-11675.64</v>
      </c>
      <c r="J24" s="136">
        <f t="shared" si="6"/>
        <v>88.02498461538461</v>
      </c>
      <c r="K24" s="224">
        <f>F24-74997.77</f>
        <v>10826.589999999997</v>
      </c>
      <c r="L24" s="224">
        <f>F24/74997.77*100</f>
        <v>114.43588256024144</v>
      </c>
      <c r="M24" s="137">
        <f>E24-жовтень!E24</f>
        <v>8170</v>
      </c>
      <c r="N24" s="137">
        <f>F24-жовтень!F24</f>
        <v>1029.6600000000035</v>
      </c>
      <c r="O24" s="138">
        <f t="shared" si="3"/>
        <v>-7140.3399999999965</v>
      </c>
      <c r="P24" s="136">
        <f t="shared" si="5"/>
        <v>12.602937576499432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63.5</v>
      </c>
      <c r="F25" s="168">
        <v>66.66</v>
      </c>
      <c r="G25" s="43">
        <f t="shared" si="0"/>
        <v>3.1599999999999966</v>
      </c>
      <c r="H25" s="35">
        <f t="shared" si="4"/>
        <v>104.9763779527559</v>
      </c>
      <c r="I25" s="50">
        <f t="shared" si="1"/>
        <v>-3.3400000000000034</v>
      </c>
      <c r="J25" s="178">
        <f t="shared" si="6"/>
        <v>95.22857142857143</v>
      </c>
      <c r="K25" s="178">
        <f>F25-65.36</f>
        <v>1.2999999999999972</v>
      </c>
      <c r="L25" s="178">
        <f>F25/65.36*100</f>
        <v>101.98898408812728</v>
      </c>
      <c r="M25" s="35">
        <f>E25-жовтень!E25</f>
        <v>12</v>
      </c>
      <c r="N25" s="35">
        <f>F25-жовтень!F25</f>
        <v>6.019999999999996</v>
      </c>
      <c r="O25" s="47">
        <f t="shared" si="3"/>
        <v>-5.980000000000004</v>
      </c>
      <c r="P25" s="50">
        <f t="shared" si="5"/>
        <v>50.166666666666636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-743</v>
      </c>
      <c r="G26" s="43">
        <f t="shared" si="0"/>
        <v>-743</v>
      </c>
      <c r="H26" s="35"/>
      <c r="I26" s="50">
        <f t="shared" si="1"/>
        <v>-743</v>
      </c>
      <c r="J26" s="136"/>
      <c r="K26" s="178">
        <f>F26-5772.25</f>
        <v>-6515.25</v>
      </c>
      <c r="L26" s="178">
        <f>F26/5772.25*100</f>
        <v>-12.871930356446793</v>
      </c>
      <c r="M26" s="35">
        <f>E26-жовтень!E26</f>
        <v>0</v>
      </c>
      <c r="N26" s="35">
        <f>F26-жовтень!F26</f>
        <v>-2.0599999999999454</v>
      </c>
      <c r="O26" s="47">
        <f t="shared" si="3"/>
        <v>-2.0599999999999454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76745</v>
      </c>
      <c r="F27" s="168">
        <v>91353.97</v>
      </c>
      <c r="G27" s="43">
        <f t="shared" si="0"/>
        <v>14608.970000000001</v>
      </c>
      <c r="H27" s="35">
        <f t="shared" si="4"/>
        <v>119.03572871196822</v>
      </c>
      <c r="I27" s="50">
        <f t="shared" si="1"/>
        <v>11853.970000000001</v>
      </c>
      <c r="J27" s="178">
        <f t="shared" si="6"/>
        <v>114.91065408805032</v>
      </c>
      <c r="K27" s="132">
        <f>F27-79317.8</f>
        <v>12036.169999999998</v>
      </c>
      <c r="L27" s="132">
        <f>F27/79317.8*100</f>
        <v>115.17461402106464</v>
      </c>
      <c r="M27" s="35">
        <f>E27-жовтень!E27</f>
        <v>2885</v>
      </c>
      <c r="N27" s="35">
        <f>F27-жовтень!F27</f>
        <v>8633.430000000008</v>
      </c>
      <c r="O27" s="47">
        <f t="shared" si="3"/>
        <v>5748.430000000008</v>
      </c>
      <c r="P27" s="50">
        <f t="shared" si="5"/>
        <v>299.25233968804184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F28-1.21</f>
        <v>-2.38</v>
      </c>
      <c r="L28" s="139">
        <f>F28/1.21*100</f>
        <v>-96.69421487603306</v>
      </c>
      <c r="M28" s="137">
        <f>E28-жовтень!E28</f>
        <v>0</v>
      </c>
      <c r="N28" s="137">
        <f>F28-вересень!F28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18810</v>
      </c>
      <c r="F29" s="144">
        <v>21909.67</v>
      </c>
      <c r="G29" s="135">
        <f t="shared" si="0"/>
        <v>3099.6699999999983</v>
      </c>
      <c r="H29" s="137">
        <f t="shared" si="4"/>
        <v>116.47884104199892</v>
      </c>
      <c r="I29" s="136">
        <f t="shared" si="1"/>
        <v>2709.6699999999983</v>
      </c>
      <c r="J29" s="136">
        <f t="shared" si="6"/>
        <v>114.11286458333332</v>
      </c>
      <c r="K29" s="139">
        <f>F29-22211.27</f>
        <v>-301.6000000000022</v>
      </c>
      <c r="L29" s="139">
        <f>F29/22211.27*100</f>
        <v>98.64213077415202</v>
      </c>
      <c r="M29" s="137">
        <f>E29-жовтень!E29</f>
        <v>730</v>
      </c>
      <c r="N29" s="137">
        <f>F29-жовтень!F29</f>
        <v>1946.3399999999965</v>
      </c>
      <c r="O29" s="138">
        <f t="shared" si="3"/>
        <v>1216.3399999999965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57935</v>
      </c>
      <c r="F30" s="144">
        <v>69416.58</v>
      </c>
      <c r="G30" s="135">
        <f t="shared" si="0"/>
        <v>11481.580000000002</v>
      </c>
      <c r="H30" s="137">
        <f t="shared" si="4"/>
        <v>119.8180374557694</v>
      </c>
      <c r="I30" s="136">
        <f t="shared" si="1"/>
        <v>9116.580000000002</v>
      </c>
      <c r="J30" s="136">
        <f t="shared" si="6"/>
        <v>115.1187064676617</v>
      </c>
      <c r="K30" s="139">
        <f>F30-57105.32</f>
        <v>12311.260000000002</v>
      </c>
      <c r="L30" s="139">
        <f>F30/57105.32*100</f>
        <v>121.55886701974528</v>
      </c>
      <c r="M30" s="137">
        <f>E30-жовтень!E30</f>
        <v>2155</v>
      </c>
      <c r="N30" s="137">
        <f>F30-жовтень!F30</f>
        <v>6687.090000000004</v>
      </c>
      <c r="O30" s="138">
        <f t="shared" si="3"/>
        <v>4532.090000000004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28.89</v>
      </c>
      <c r="G31" s="135">
        <f t="shared" si="0"/>
        <v>28.89</v>
      </c>
      <c r="H31" s="137"/>
      <c r="I31" s="136">
        <f t="shared" si="1"/>
        <v>28.89</v>
      </c>
      <c r="J31" s="136"/>
      <c r="K31" s="139">
        <f>F31-0</f>
        <v>28.89</v>
      </c>
      <c r="L31" s="139"/>
      <c r="M31" s="137">
        <f>E31-жовтень!E31</f>
        <v>0</v>
      </c>
      <c r="N31" s="137">
        <f>F31-жовтень!F31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7499.8</v>
      </c>
      <c r="F32" s="168">
        <v>5591.97</v>
      </c>
      <c r="G32" s="43">
        <f t="shared" si="0"/>
        <v>-1907.83</v>
      </c>
      <c r="H32" s="35">
        <f t="shared" si="4"/>
        <v>74.56158830902157</v>
      </c>
      <c r="I32" s="50">
        <f t="shared" si="1"/>
        <v>-1908.0299999999997</v>
      </c>
      <c r="J32" s="178">
        <f t="shared" si="6"/>
        <v>74.5596</v>
      </c>
      <c r="K32" s="178">
        <f>F32-7378.96</f>
        <v>-1786.9899999999998</v>
      </c>
      <c r="L32" s="178">
        <f>F32/7378.96*100</f>
        <v>75.78263061461236</v>
      </c>
      <c r="M32" s="35">
        <f>E32-жовтень!E32</f>
        <v>1740.5</v>
      </c>
      <c r="N32" s="35">
        <f>F32-жовтень!F32</f>
        <v>6.220000000000255</v>
      </c>
      <c r="O32" s="47">
        <f t="shared" si="3"/>
        <v>-1734.2799999999997</v>
      </c>
      <c r="P32" s="50">
        <f t="shared" si="5"/>
        <v>0.35736857224936824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34244.57</v>
      </c>
      <c r="F33" s="18">
        <f>F34+F35+F36+F37+F38+F41+F42+F47+F48+F52+F40+F39+F51</f>
        <v>41055.31999999999</v>
      </c>
      <c r="G33" s="44">
        <f t="shared" si="0"/>
        <v>6810.749999999993</v>
      </c>
      <c r="H33" s="45">
        <f t="shared" si="4"/>
        <v>119.8885545942028</v>
      </c>
      <c r="I33" s="31">
        <f t="shared" si="1"/>
        <v>5415.749999999993</v>
      </c>
      <c r="J33" s="31">
        <f t="shared" si="6"/>
        <v>115.19589041057452</v>
      </c>
      <c r="K33" s="18">
        <f>K34+K35+K36+K37+K38+K41+K42+K47+K48+K52+K40</f>
        <v>29155.659999999996</v>
      </c>
      <c r="L33" s="18"/>
      <c r="M33" s="18">
        <f>M34+M35+M36+M37+M38+M41+M42+M47+M48+M52+M40+M39</f>
        <v>1694.3000000000002</v>
      </c>
      <c r="N33" s="18">
        <f>N34+N35+N36+N37+N38+N41+N42+N47+N48+N52+N40+N39</f>
        <v>5973.639999999998</v>
      </c>
      <c r="O33" s="49">
        <f t="shared" si="3"/>
        <v>4279.339999999997</v>
      </c>
      <c r="P33" s="31">
        <f>N33/M33*100</f>
        <v>352.5727439060377</v>
      </c>
      <c r="Q33" s="31">
        <f>N33-1017.63</f>
        <v>4956.0099999999975</v>
      </c>
      <c r="R33" s="127">
        <f>N33/1017.63</f>
        <v>5.870149268398139</v>
      </c>
    </row>
    <row r="34" spans="1:18" s="6" customFormat="1" ht="47.25">
      <c r="A34" s="8"/>
      <c r="B34" s="60" t="s">
        <v>321</v>
      </c>
      <c r="C34" s="59">
        <v>21010301</v>
      </c>
      <c r="D34" s="36">
        <f>200-100-100</f>
        <v>0</v>
      </c>
      <c r="E34" s="36">
        <f>140-40</f>
        <v>100</v>
      </c>
      <c r="F34" s="143">
        <v>-0.26</v>
      </c>
      <c r="G34" s="43">
        <f t="shared" si="0"/>
        <v>-100.26</v>
      </c>
      <c r="H34" s="35">
        <f t="shared" si="4"/>
        <v>-0.26</v>
      </c>
      <c r="I34" s="50">
        <f t="shared" si="1"/>
        <v>-0.26</v>
      </c>
      <c r="J34" s="50" t="e">
        <f t="shared" si="6"/>
        <v>#DIV/0!</v>
      </c>
      <c r="K34" s="50">
        <f>F34-153.52</f>
        <v>-153.78</v>
      </c>
      <c r="L34" s="50">
        <f>F34/153.52*100</f>
        <v>-0.16935904116727463</v>
      </c>
      <c r="M34" s="35">
        <f>E34-жовтень!E34</f>
        <v>0</v>
      </c>
      <c r="N34" s="35">
        <f>F34-жовтень!F34</f>
        <v>57.53</v>
      </c>
      <c r="O34" s="47">
        <f t="shared" si="3"/>
        <v>57.53</v>
      </c>
      <c r="P34" s="50" t="e">
        <f>N34/M34*100</f>
        <v>#DIV/0!</v>
      </c>
      <c r="Q34" s="50">
        <f>N34-0</f>
        <v>57.53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1000+6932.47+110.1</f>
        <v>8042.570000000001</v>
      </c>
      <c r="E35" s="36">
        <f>7882.47+1</f>
        <v>7883.47</v>
      </c>
      <c r="F35" s="143">
        <v>12874.31</v>
      </c>
      <c r="G35" s="43">
        <f t="shared" si="0"/>
        <v>4990.839999999999</v>
      </c>
      <c r="H35" s="35">
        <f t="shared" si="4"/>
        <v>163.30765513156007</v>
      </c>
      <c r="I35" s="50">
        <f t="shared" si="1"/>
        <v>4831.739999999999</v>
      </c>
      <c r="J35" s="50"/>
      <c r="K35" s="50">
        <f>F35-0</f>
        <v>12874.31</v>
      </c>
      <c r="L35" s="50" t="e">
        <f>F35/0*100</f>
        <v>#DIV/0!</v>
      </c>
      <c r="M35" s="35">
        <f>E35-жовтень!E35</f>
        <v>251</v>
      </c>
      <c r="N35" s="35">
        <f>F35-жовтень!F35</f>
        <v>4439.379999999999</v>
      </c>
      <c r="O35" s="47">
        <f t="shared" si="3"/>
        <v>4188.379999999999</v>
      </c>
      <c r="P35" s="50"/>
      <c r="Q35" s="50">
        <f>N35-0</f>
        <v>4439.379999999999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365.31</v>
      </c>
      <c r="G36" s="43">
        <f t="shared" si="0"/>
        <v>125.31</v>
      </c>
      <c r="H36" s="35">
        <f t="shared" si="4"/>
        <v>152.2125</v>
      </c>
      <c r="I36" s="50">
        <f t="shared" si="1"/>
        <v>125.31</v>
      </c>
      <c r="J36" s="50"/>
      <c r="K36" s="50">
        <f>F36-242.79</f>
        <v>122.52000000000001</v>
      </c>
      <c r="L36" s="50">
        <f>F36/242.79*100</f>
        <v>150.46336340046955</v>
      </c>
      <c r="M36" s="35">
        <f>E36-жовтень!E36</f>
        <v>0</v>
      </c>
      <c r="N36" s="35">
        <f>F36-жовтень!F36</f>
        <v>15.5</v>
      </c>
      <c r="O36" s="47">
        <f t="shared" si="3"/>
        <v>15.5</v>
      </c>
      <c r="P36" s="50"/>
      <c r="Q36" s="50">
        <f>N36-4.23</f>
        <v>11.27</v>
      </c>
      <c r="R36" s="126">
        <f>N36/4.23</f>
        <v>3.664302600472813</v>
      </c>
    </row>
    <row r="37" spans="1:18" s="6" customFormat="1" ht="31.5">
      <c r="A37" s="8"/>
      <c r="B37" s="30" t="s">
        <v>123</v>
      </c>
      <c r="C37" s="94">
        <v>21080900</v>
      </c>
      <c r="D37" s="36">
        <f>6.5-6.5</f>
        <v>0</v>
      </c>
      <c r="E37" s="36">
        <f>5.5-1</f>
        <v>4.5</v>
      </c>
      <c r="F37" s="143">
        <v>0</v>
      </c>
      <c r="G37" s="43">
        <f t="shared" si="0"/>
        <v>-4.5</v>
      </c>
      <c r="H37" s="35">
        <f t="shared" si="4"/>
        <v>0</v>
      </c>
      <c r="I37" s="50">
        <f t="shared" si="1"/>
        <v>0</v>
      </c>
      <c r="J37" s="50" t="e">
        <f t="shared" si="6"/>
        <v>#DIV/0!</v>
      </c>
      <c r="K37" s="50">
        <f>F37-5.94</f>
        <v>-5.94</v>
      </c>
      <c r="L37" s="50">
        <f>F37/5.94*100</f>
        <v>0</v>
      </c>
      <c r="M37" s="35">
        <f>E37-жовтень!E37</f>
        <v>0</v>
      </c>
      <c r="N37" s="35">
        <f>F37-жовтень!F37</f>
        <v>0</v>
      </c>
      <c r="O37" s="47">
        <f t="shared" si="3"/>
        <v>0</v>
      </c>
      <c r="P37" s="50" t="e">
        <f>N37/M37*100</f>
        <v>#DIV/0!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130</v>
      </c>
      <c r="F38" s="143">
        <v>262.87</v>
      </c>
      <c r="G38" s="43">
        <f t="shared" si="0"/>
        <v>132.87</v>
      </c>
      <c r="H38" s="35">
        <f t="shared" si="4"/>
        <v>202.2076923076923</v>
      </c>
      <c r="I38" s="50">
        <f t="shared" si="1"/>
        <v>122.87</v>
      </c>
      <c r="J38" s="50">
        <f t="shared" si="6"/>
        <v>187.7642857142857</v>
      </c>
      <c r="K38" s="50">
        <f>F38-121.56</f>
        <v>141.31</v>
      </c>
      <c r="L38" s="50">
        <f>F38/121.56*100</f>
        <v>216.247120763409</v>
      </c>
      <c r="M38" s="35">
        <f>E38-жовтень!E38</f>
        <v>10</v>
      </c>
      <c r="N38" s="35">
        <f>F38-жовтень!F38</f>
        <v>7</v>
      </c>
      <c r="O38" s="47">
        <f t="shared" si="3"/>
        <v>-3</v>
      </c>
      <c r="P38" s="50">
        <f>N38/M38*100</f>
        <v>70</v>
      </c>
      <c r="Q38" s="50">
        <f>N38-9.02</f>
        <v>-2.0199999999999996</v>
      </c>
      <c r="R38" s="126">
        <f>N38/9.02</f>
        <v>0.7760532150776054</v>
      </c>
    </row>
    <row r="39" spans="1:18" s="6" customFormat="1" ht="47.25" hidden="1">
      <c r="A39" s="8"/>
      <c r="B39" s="15" t="s">
        <v>225</v>
      </c>
      <c r="C39" s="67">
        <v>21081500</v>
      </c>
      <c r="D39" s="36">
        <v>0</v>
      </c>
      <c r="E39" s="36"/>
      <c r="F39" s="143">
        <v>0</v>
      </c>
      <c r="G39" s="43">
        <f t="shared" si="0"/>
        <v>0</v>
      </c>
      <c r="H39" s="35"/>
      <c r="I39" s="50">
        <f>F39-D39</f>
        <v>0</v>
      </c>
      <c r="J39" s="50"/>
      <c r="K39" s="50">
        <f>F39-0</f>
        <v>0</v>
      </c>
      <c r="L39" s="50"/>
      <c r="M39" s="35">
        <f>E39-жовтень!E39</f>
        <v>0</v>
      </c>
      <c r="N39" s="35">
        <f>F39-жовтень!F39</f>
        <v>0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f>9000-100</f>
        <v>8900</v>
      </c>
      <c r="F40" s="143">
        <v>8663.22</v>
      </c>
      <c r="G40" s="43">
        <f t="shared" si="0"/>
        <v>-236.78000000000065</v>
      </c>
      <c r="H40" s="35">
        <f aca="true" t="shared" si="7" ref="H40:H46">F40/E40*100</f>
        <v>97.33955056179775</v>
      </c>
      <c r="I40" s="50">
        <f t="shared" si="1"/>
        <v>-336.78000000000065</v>
      </c>
      <c r="J40" s="50"/>
      <c r="K40" s="50">
        <f>F40-0</f>
        <v>8663.22</v>
      </c>
      <c r="L40" s="50"/>
      <c r="M40" s="35">
        <f>E40-жовтень!E40</f>
        <v>63</v>
      </c>
      <c r="N40" s="35">
        <f>F40-жовтень!F40</f>
        <v>279.5199999999986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6350</v>
      </c>
      <c r="F41" s="143">
        <v>8179.98</v>
      </c>
      <c r="G41" s="43">
        <f t="shared" si="0"/>
        <v>1829.9799999999996</v>
      </c>
      <c r="H41" s="35">
        <f t="shared" si="7"/>
        <v>128.81858267716535</v>
      </c>
      <c r="I41" s="50">
        <f t="shared" si="1"/>
        <v>1279.9799999999996</v>
      </c>
      <c r="J41" s="50">
        <f t="shared" si="6"/>
        <v>118.55043478260869</v>
      </c>
      <c r="K41" s="50">
        <f>F41-6573.91</f>
        <v>1606.0699999999997</v>
      </c>
      <c r="L41" s="50">
        <f>F41/6573.91*100</f>
        <v>124.43097030534341</v>
      </c>
      <c r="M41" s="35">
        <f>E41-жовтень!E41</f>
        <v>580</v>
      </c>
      <c r="N41" s="35">
        <f>F41-жовтень!F41</f>
        <v>687.1599999999999</v>
      </c>
      <c r="O41" s="47">
        <f t="shared" si="3"/>
        <v>107.15999999999985</v>
      </c>
      <c r="P41" s="50">
        <f>N41/M41*100</f>
        <v>118.4758620689655</v>
      </c>
      <c r="Q41" s="50">
        <f>N41-647.49</f>
        <v>39.669999999999845</v>
      </c>
      <c r="R41" s="126">
        <f>N41/647.49</f>
        <v>1.0612673554803933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6811.6</v>
      </c>
      <c r="F42" s="143">
        <v>6462.3</v>
      </c>
      <c r="G42" s="43">
        <f t="shared" si="0"/>
        <v>-349.3000000000002</v>
      </c>
      <c r="H42" s="35">
        <f t="shared" si="7"/>
        <v>94.87198308767397</v>
      </c>
      <c r="I42" s="50">
        <f t="shared" si="1"/>
        <v>-637.6999999999998</v>
      </c>
      <c r="J42" s="50">
        <f t="shared" si="6"/>
        <v>91.01830985915494</v>
      </c>
      <c r="K42" s="50">
        <f>F42-975.44</f>
        <v>5486.860000000001</v>
      </c>
      <c r="L42" s="50">
        <f>F42/975.44*100</f>
        <v>662.501025178381</v>
      </c>
      <c r="M42" s="35">
        <f>E42-жовтень!E42</f>
        <v>420.3000000000002</v>
      </c>
      <c r="N42" s="35">
        <f>F42-жовтень!F42</f>
        <v>274.75</v>
      </c>
      <c r="O42" s="47">
        <f t="shared" si="3"/>
        <v>-145.55000000000018</v>
      </c>
      <c r="P42" s="50">
        <f>N42/M42*100</f>
        <v>65.36997382821791</v>
      </c>
      <c r="Q42" s="50">
        <f>N42-79.51</f>
        <v>195.24</v>
      </c>
      <c r="R42" s="126">
        <f>N42/79.51</f>
        <v>3.4555401836247013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v>1010</v>
      </c>
      <c r="F43" s="144">
        <v>978.19</v>
      </c>
      <c r="G43" s="135">
        <f t="shared" si="0"/>
        <v>-31.809999999999945</v>
      </c>
      <c r="H43" s="35">
        <f t="shared" si="7"/>
        <v>96.85049504950496</v>
      </c>
      <c r="I43" s="136">
        <f t="shared" si="1"/>
        <v>-121.80999999999995</v>
      </c>
      <c r="J43" s="136">
        <f t="shared" si="6"/>
        <v>88.92636363636363</v>
      </c>
      <c r="K43" s="136">
        <f>F43-857.86</f>
        <v>120.33000000000004</v>
      </c>
      <c r="L43" s="136">
        <f>F43/857.86*100</f>
        <v>114.02676427389085</v>
      </c>
      <c r="M43" s="137">
        <f>E43-жовтень!E43</f>
        <v>100</v>
      </c>
      <c r="N43" s="137">
        <f>F43-жовтень!F43</f>
        <v>94.42000000000007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v>80</v>
      </c>
      <c r="F44" s="144">
        <v>44.11</v>
      </c>
      <c r="G44" s="135">
        <f t="shared" si="0"/>
        <v>-35.89</v>
      </c>
      <c r="H44" s="35">
        <f t="shared" si="7"/>
        <v>55.137499999999996</v>
      </c>
      <c r="I44" s="136">
        <f t="shared" si="1"/>
        <v>-35.89</v>
      </c>
      <c r="J44" s="136"/>
      <c r="K44" s="136">
        <f>F44-0</f>
        <v>44.11</v>
      </c>
      <c r="L44" s="136"/>
      <c r="M44" s="137">
        <f>E44-жовтень!E44</f>
        <v>10</v>
      </c>
      <c r="N44" s="137">
        <f>F44-жовтень!F44</f>
        <v>0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v>1.6</v>
      </c>
      <c r="F45" s="144">
        <v>0.75</v>
      </c>
      <c r="G45" s="135">
        <f t="shared" si="0"/>
        <v>-0.8500000000000001</v>
      </c>
      <c r="H45" s="35">
        <f t="shared" si="7"/>
        <v>46.875</v>
      </c>
      <c r="I45" s="136">
        <f t="shared" si="1"/>
        <v>-1.25</v>
      </c>
      <c r="J45" s="136"/>
      <c r="K45" s="136">
        <f>F45-0</f>
        <v>0.75</v>
      </c>
      <c r="L45" s="136"/>
      <c r="M45" s="137">
        <f>E45-жовтень!E45</f>
        <v>0.30000000000000004</v>
      </c>
      <c r="N45" s="137">
        <f>F45-жовтень!F45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v>5720</v>
      </c>
      <c r="F46" s="144">
        <v>5439.25</v>
      </c>
      <c r="G46" s="135">
        <f t="shared" si="0"/>
        <v>-280.75</v>
      </c>
      <c r="H46" s="35">
        <f t="shared" si="7"/>
        <v>95.09178321678323</v>
      </c>
      <c r="I46" s="136">
        <f t="shared" si="1"/>
        <v>-478.75</v>
      </c>
      <c r="J46" s="136">
        <f t="shared" si="6"/>
        <v>91.91027374112876</v>
      </c>
      <c r="K46" s="136">
        <f>F46-117.58</f>
        <v>5321.67</v>
      </c>
      <c r="L46" s="136">
        <f>F46/117.58*100</f>
        <v>4625.999319612179</v>
      </c>
      <c r="M46" s="137">
        <f>E46-жовтень!E46</f>
        <v>310</v>
      </c>
      <c r="N46" s="137">
        <f>F46-жовтень!F46</f>
        <v>180.32999999999993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f>7.6-3.6</f>
        <v>3.9999999999999996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-0.10999999999999943</v>
      </c>
      <c r="J47" s="50"/>
      <c r="K47" s="50">
        <f>F47-0.53</f>
        <v>3.3600000000000003</v>
      </c>
      <c r="L47" s="50"/>
      <c r="M47" s="35">
        <f>E47-жовтень!E47</f>
        <v>0</v>
      </c>
      <c r="N47" s="35">
        <f>F47-жовтень!F47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3820</v>
      </c>
      <c r="F48" s="143">
        <v>4223.65</v>
      </c>
      <c r="G48" s="43">
        <f t="shared" si="0"/>
        <v>403.64999999999964</v>
      </c>
      <c r="H48" s="35">
        <f>F48/E48*100</f>
        <v>110.56675392670157</v>
      </c>
      <c r="I48" s="50">
        <f t="shared" si="1"/>
        <v>23.649999999999636</v>
      </c>
      <c r="J48" s="50">
        <f>F48/D48*100</f>
        <v>100.56309523809523</v>
      </c>
      <c r="K48" s="50">
        <f>F48-3812.69</f>
        <v>410.9599999999996</v>
      </c>
      <c r="L48" s="50">
        <f>F48/3812.69*100</f>
        <v>110.77874151845546</v>
      </c>
      <c r="M48" s="35">
        <f>E48-жовтень!E48</f>
        <v>370</v>
      </c>
      <c r="N48" s="35">
        <f>F48-жовтень!F48</f>
        <v>212.79999999999973</v>
      </c>
      <c r="O48" s="47">
        <f t="shared" si="3"/>
        <v>-157.20000000000027</v>
      </c>
      <c r="P48" s="50">
        <f aca="true" t="shared" si="8" ref="P48:P53">N48/M48*100</f>
        <v>57.51351351351344</v>
      </c>
      <c r="Q48" s="50">
        <f>N48-277.38</f>
        <v>-64.58000000000027</v>
      </c>
      <c r="R48" s="126">
        <f>N48/277.38</f>
        <v>0.7671785997548479</v>
      </c>
    </row>
    <row r="49" spans="1:18" s="6" customFormat="1" ht="15.75" hidden="1">
      <c r="A49" s="8"/>
      <c r="B49" s="14" t="s">
        <v>102</v>
      </c>
      <c r="C49" s="83" t="s">
        <v>103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E49-жовтень!E50</f>
        <v>0</v>
      </c>
      <c r="N49" s="35">
        <f>F49-жовтень!F50</f>
        <v>0</v>
      </c>
      <c r="O49" s="47">
        <f t="shared" si="3"/>
        <v>0</v>
      </c>
      <c r="P49" s="50" t="e">
        <f t="shared" si="8"/>
        <v>#DIV/0!</v>
      </c>
      <c r="Q49" s="50"/>
      <c r="R49" s="126">
        <f>N49/277.38</f>
        <v>0</v>
      </c>
    </row>
    <row r="50" spans="1:18" s="6" customFormat="1" ht="31.5">
      <c r="A50" s="8"/>
      <c r="B50" s="69" t="s">
        <v>127</v>
      </c>
      <c r="C50" s="83"/>
      <c r="D50" s="135"/>
      <c r="E50" s="135"/>
      <c r="F50" s="144">
        <v>1101.9</v>
      </c>
      <c r="G50" s="135">
        <f t="shared" si="0"/>
        <v>1101.9</v>
      </c>
      <c r="H50" s="137"/>
      <c r="I50" s="136">
        <f t="shared" si="1"/>
        <v>1101.9</v>
      </c>
      <c r="J50" s="136"/>
      <c r="K50" s="138">
        <f>F50-926.78</f>
        <v>175.12000000000012</v>
      </c>
      <c r="L50" s="138">
        <f>F50/926.78*100</f>
        <v>118.89553076242476</v>
      </c>
      <c r="M50" s="137">
        <f>E50-жовтень!E51</f>
        <v>0</v>
      </c>
      <c r="N50" s="137">
        <f>F50-жовтень!F51</f>
        <v>57.600000000000136</v>
      </c>
      <c r="O50" s="138">
        <f t="shared" si="3"/>
        <v>57.600000000000136</v>
      </c>
      <c r="P50" s="136"/>
      <c r="Q50" s="50">
        <f>N50-64.93</f>
        <v>-7.32999999999987</v>
      </c>
      <c r="R50" s="126">
        <f>N50/64.93</f>
        <v>0.8871091945171743</v>
      </c>
    </row>
    <row r="51" spans="1:18" s="6" customFormat="1" ht="15.75">
      <c r="A51" s="8"/>
      <c r="B51" s="14" t="s">
        <v>100</v>
      </c>
      <c r="C51" s="228" t="s">
        <v>101</v>
      </c>
      <c r="D51" s="43">
        <v>0</v>
      </c>
      <c r="E51" s="43">
        <v>0</v>
      </c>
      <c r="F51" s="144"/>
      <c r="G51" s="135"/>
      <c r="H51" s="137"/>
      <c r="I51" s="136"/>
      <c r="J51" s="136"/>
      <c r="K51" s="138"/>
      <c r="L51" s="138"/>
      <c r="M51" s="137">
        <f>E51</f>
        <v>0</v>
      </c>
      <c r="N51" s="137">
        <f>F51-E51</f>
        <v>0</v>
      </c>
      <c r="O51" s="138"/>
      <c r="P51" s="136"/>
      <c r="Q51" s="50"/>
      <c r="R51" s="126"/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E52-жовтень!E52</f>
        <v>0</v>
      </c>
      <c r="N52" s="35">
        <f>F52-жовтень!F52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23.8</v>
      </c>
      <c r="F53" s="143">
        <v>20.92</v>
      </c>
      <c r="G53" s="43">
        <f t="shared" si="0"/>
        <v>-2.879999999999999</v>
      </c>
      <c r="H53" s="35">
        <f>F53/E53*100</f>
        <v>87.89915966386556</v>
      </c>
      <c r="I53" s="50">
        <f t="shared" si="1"/>
        <v>-5.579999999999998</v>
      </c>
      <c r="J53" s="50">
        <f>F53/D53*100</f>
        <v>78.9433962264151</v>
      </c>
      <c r="K53" s="50">
        <f>F53-23.85</f>
        <v>-2.9299999999999997</v>
      </c>
      <c r="L53" s="50">
        <f>F53/23.85*100</f>
        <v>87.71488469601677</v>
      </c>
      <c r="M53" s="35">
        <f>E53-жовтень!E53</f>
        <v>2.1999999999999993</v>
      </c>
      <c r="N53" s="35">
        <f>F53-жовтень!F53</f>
        <v>0</v>
      </c>
      <c r="O53" s="47">
        <f t="shared" si="3"/>
        <v>-2.1999999999999993</v>
      </c>
      <c r="P53" s="50">
        <f t="shared" si="8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0.5</v>
      </c>
      <c r="G54" s="43">
        <f t="shared" si="0"/>
        <v>0.5</v>
      </c>
      <c r="H54" s="35"/>
      <c r="I54" s="50">
        <f t="shared" si="1"/>
        <v>0.5</v>
      </c>
      <c r="J54" s="50"/>
      <c r="K54" s="50">
        <f>F54-0.37</f>
        <v>0.13</v>
      </c>
      <c r="L54" s="50"/>
      <c r="M54" s="35">
        <f>E54-жовтень!E54</f>
        <v>0</v>
      </c>
      <c r="N54" s="35">
        <f>F54-жовтень!F54</f>
        <v>0.19</v>
      </c>
      <c r="O54" s="47">
        <f t="shared" si="3"/>
        <v>0.19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574911.9400000001</v>
      </c>
      <c r="F55" s="18">
        <f>F8+F33+F53+F54</f>
        <v>606582.58</v>
      </c>
      <c r="G55" s="44">
        <f>F55-E55</f>
        <v>31670.639999999898</v>
      </c>
      <c r="H55" s="45">
        <f>F55/E55*100</f>
        <v>105.5087810491464</v>
      </c>
      <c r="I55" s="31">
        <f>F55-D55</f>
        <v>-1372.4899999999907</v>
      </c>
      <c r="J55" s="31">
        <f>F55/D55*100</f>
        <v>99.77424483029642</v>
      </c>
      <c r="K55" s="31">
        <f>K8+K33+K53+K54</f>
        <v>148634.74599999998</v>
      </c>
      <c r="L55" s="31">
        <f>F55/(F55-K55)*100</f>
        <v>132.4566981137856</v>
      </c>
      <c r="M55" s="18">
        <f>M8+M33+M53+M54</f>
        <v>38814.600000000006</v>
      </c>
      <c r="N55" s="18">
        <f>N8+N33+N53+N54</f>
        <v>28893.439999999984</v>
      </c>
      <c r="O55" s="49">
        <f>N55-M55</f>
        <v>-9921.160000000022</v>
      </c>
      <c r="P55" s="31">
        <f>N55/M55*100</f>
        <v>74.43961808185574</v>
      </c>
      <c r="Q55" s="31">
        <f>N55-34768</f>
        <v>-5874.560000000016</v>
      </c>
      <c r="R55" s="171">
        <f>N55/34768</f>
        <v>0.8310354348826503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F60-жовтень!F60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-54.75</v>
      </c>
      <c r="G61" s="43">
        <f aca="true" t="shared" si="9" ref="G61:G68">F61-E61</f>
        <v>-54.75</v>
      </c>
      <c r="H61" s="35"/>
      <c r="I61" s="53">
        <f aca="true" t="shared" si="10" ref="I61:I68">F61-D61</f>
        <v>-54.75</v>
      </c>
      <c r="J61" s="53"/>
      <c r="K61" s="47">
        <f>F61-284.81</f>
        <v>-339.56</v>
      </c>
      <c r="L61" s="53"/>
      <c r="M61" s="35">
        <v>0</v>
      </c>
      <c r="N61" s="36">
        <f>F61-жовтень!F61</f>
        <v>0</v>
      </c>
      <c r="O61" s="47">
        <f aca="true" t="shared" si="11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-54.75</v>
      </c>
      <c r="G62" s="55">
        <f t="shared" si="9"/>
        <v>-54.75</v>
      </c>
      <c r="H62" s="65"/>
      <c r="I62" s="54">
        <f t="shared" si="10"/>
        <v>-54.75</v>
      </c>
      <c r="J62" s="54"/>
      <c r="K62" s="54">
        <f>K60+K61</f>
        <v>-339.56</v>
      </c>
      <c r="L62" s="54"/>
      <c r="M62" s="55">
        <f>M61</f>
        <v>0</v>
      </c>
      <c r="N62" s="33">
        <f>SUM(N60:N61)</f>
        <v>0</v>
      </c>
      <c r="O62" s="54">
        <f t="shared" si="11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9"/>
        <v>0</v>
      </c>
      <c r="H63" s="35" t="e">
        <f>F63/E63*100</f>
        <v>#DIV/0!</v>
      </c>
      <c r="I63" s="53">
        <f t="shared" si="10"/>
        <v>0</v>
      </c>
      <c r="J63" s="53" t="e">
        <f aca="true" t="shared" si="12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1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2500</v>
      </c>
      <c r="F64" s="146">
        <v>593.15</v>
      </c>
      <c r="G64" s="43">
        <f t="shared" si="9"/>
        <v>-1906.85</v>
      </c>
      <c r="H64" s="35"/>
      <c r="I64" s="53">
        <f t="shared" si="10"/>
        <v>-1906.85</v>
      </c>
      <c r="J64" s="53">
        <f t="shared" si="12"/>
        <v>23.726</v>
      </c>
      <c r="K64" s="53">
        <f>F64-1921.61</f>
        <v>-1328.46</v>
      </c>
      <c r="L64" s="53">
        <f>F64/1921.61*100</f>
        <v>30.86734561123225</v>
      </c>
      <c r="M64" s="35">
        <f>E64-жовтень!E64</f>
        <v>900</v>
      </c>
      <c r="N64" s="35">
        <f>F64-жовтень!F64</f>
        <v>0.01999999999998181</v>
      </c>
      <c r="O64" s="47">
        <f t="shared" si="11"/>
        <v>-899.98</v>
      </c>
      <c r="P64" s="53"/>
      <c r="Q64" s="53">
        <f>N64-0.04</f>
        <v>-0.02000000000001819</v>
      </c>
      <c r="R64" s="129">
        <f>N64/0.04</f>
        <v>0.49999999999954525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7760.73</v>
      </c>
      <c r="F65" s="146">
        <v>8108.15</v>
      </c>
      <c r="G65" s="43">
        <f t="shared" si="9"/>
        <v>347.4200000000001</v>
      </c>
      <c r="H65" s="35">
        <f>F65/E65*100</f>
        <v>104.47664072838509</v>
      </c>
      <c r="I65" s="53">
        <f t="shared" si="10"/>
        <v>-3467.8500000000004</v>
      </c>
      <c r="J65" s="53">
        <f t="shared" si="12"/>
        <v>70.0427608845888</v>
      </c>
      <c r="K65" s="53">
        <f>F65-3828.89</f>
        <v>4279.26</v>
      </c>
      <c r="L65" s="53">
        <f>F65/3828.89*100</f>
        <v>211.76241678397653</v>
      </c>
      <c r="M65" s="35">
        <f>E65-жовтень!E65</f>
        <v>1024.75</v>
      </c>
      <c r="N65" s="35">
        <f>F65-жовтень!F65</f>
        <v>896.0699999999997</v>
      </c>
      <c r="O65" s="47">
        <f t="shared" si="11"/>
        <v>-128.6800000000003</v>
      </c>
      <c r="P65" s="53">
        <f>N65/M65*100</f>
        <v>87.44279092461574</v>
      </c>
      <c r="Q65" s="53">
        <f>N65-450.01</f>
        <v>446.0599999999997</v>
      </c>
      <c r="R65" s="129">
        <f>N65/450.01</f>
        <v>1.9912224172796154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1481</v>
      </c>
      <c r="F66" s="146">
        <v>2263.08</v>
      </c>
      <c r="G66" s="43">
        <f t="shared" si="9"/>
        <v>782.0799999999999</v>
      </c>
      <c r="H66" s="35">
        <f>F66/E66*100</f>
        <v>152.80756245779878</v>
      </c>
      <c r="I66" s="53">
        <f t="shared" si="10"/>
        <v>-736.9200000000001</v>
      </c>
      <c r="J66" s="53">
        <f t="shared" si="12"/>
        <v>75.436</v>
      </c>
      <c r="K66" s="53">
        <f>F66-2012.55</f>
        <v>250.52999999999997</v>
      </c>
      <c r="L66" s="53">
        <f>F66/2012.55*100</f>
        <v>112.44838637549377</v>
      </c>
      <c r="M66" s="35">
        <f>E66-жовтень!E66</f>
        <v>148.0999999999999</v>
      </c>
      <c r="N66" s="35">
        <f>F66-жовтень!F66</f>
        <v>199.6500000000001</v>
      </c>
      <c r="O66" s="47">
        <f t="shared" si="11"/>
        <v>51.55000000000018</v>
      </c>
      <c r="P66" s="53">
        <f>N66/M66*100</f>
        <v>134.80756245779892</v>
      </c>
      <c r="Q66" s="53">
        <f>N66-1.05</f>
        <v>198.60000000000008</v>
      </c>
      <c r="R66" s="129">
        <f>N66/1.05</f>
        <v>190.14285714285722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11741.73</v>
      </c>
      <c r="F67" s="145">
        <f>F64+F65+F66</f>
        <v>10964.38</v>
      </c>
      <c r="G67" s="55">
        <f t="shared" si="9"/>
        <v>-777.3500000000004</v>
      </c>
      <c r="H67" s="65">
        <f>F67/E67*100</f>
        <v>93.37959568138596</v>
      </c>
      <c r="I67" s="54">
        <f t="shared" si="10"/>
        <v>-6111.620000000001</v>
      </c>
      <c r="J67" s="54">
        <f t="shared" si="12"/>
        <v>64.20929960178027</v>
      </c>
      <c r="K67" s="54">
        <f>K64+K65+K66</f>
        <v>3201.33</v>
      </c>
      <c r="L67" s="54"/>
      <c r="M67" s="55">
        <f>M64+M65+M66</f>
        <v>2072.85</v>
      </c>
      <c r="N67" s="55">
        <f>N64+N65+N66</f>
        <v>1095.7399999999998</v>
      </c>
      <c r="O67" s="54">
        <f t="shared" si="11"/>
        <v>-977.1100000000001</v>
      </c>
      <c r="P67" s="54">
        <f>N67/M67*100</f>
        <v>52.861519164435435</v>
      </c>
      <c r="Q67" s="54">
        <f>N67-7985.28</f>
        <v>-6889.54</v>
      </c>
      <c r="R67" s="173">
        <f>N67/7985.28</f>
        <v>0.1372199847719804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 t="shared" si="9"/>
        <v>-34.65</v>
      </c>
      <c r="H68" s="35">
        <f>F68/E68*100</f>
        <v>1</v>
      </c>
      <c r="I68" s="53">
        <f t="shared" si="10"/>
        <v>-34.65</v>
      </c>
      <c r="J68" s="53">
        <f t="shared" si="12"/>
        <v>1</v>
      </c>
      <c r="K68" s="53">
        <f>F68-35.01</f>
        <v>-34.66</v>
      </c>
      <c r="L68" s="53">
        <f>F68/35.01*100</f>
        <v>0.9997143673236218</v>
      </c>
      <c r="M68" s="35">
        <f>E68-жовтень!E68</f>
        <v>0</v>
      </c>
      <c r="N68" s="35">
        <f>F68-жовтень!F68</f>
        <v>0</v>
      </c>
      <c r="O68" s="47">
        <f t="shared" si="11"/>
        <v>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E69-жовтень!E69</f>
        <v>0</v>
      </c>
      <c r="N69" s="35">
        <f>F69-жовтень!F69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1.14</v>
      </c>
      <c r="G70" s="43">
        <f>F70-E70</f>
        <v>1.14</v>
      </c>
      <c r="H70" s="35"/>
      <c r="I70" s="53">
        <f>F70-D70</f>
        <v>1.14</v>
      </c>
      <c r="J70" s="53"/>
      <c r="K70" s="53">
        <f>F70-1.47</f>
        <v>-0.33000000000000007</v>
      </c>
      <c r="L70" s="53">
        <f>F70/1.47*100</f>
        <v>77.55102040816327</v>
      </c>
      <c r="M70" s="35">
        <f>E70-жовтень!E70</f>
        <v>0</v>
      </c>
      <c r="N70" s="35">
        <f>F70-жовтень!F70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1.4899999999999998</v>
      </c>
      <c r="G71" s="55">
        <f>F71-E71</f>
        <v>-47.51</v>
      </c>
      <c r="H71" s="65">
        <f>F71/E71*100</f>
        <v>3.040816326530612</v>
      </c>
      <c r="I71" s="54">
        <f>F71-D71</f>
        <v>-52.51</v>
      </c>
      <c r="J71" s="54">
        <f>F71/D71*100</f>
        <v>2.759259259259259</v>
      </c>
      <c r="K71" s="54">
        <f>K68+K69+K70</f>
        <v>-54.47</v>
      </c>
      <c r="L71" s="54"/>
      <c r="M71" s="55">
        <f>M68+M70+M69</f>
        <v>0</v>
      </c>
      <c r="N71" s="55">
        <f>N68+N70+N69</f>
        <v>0</v>
      </c>
      <c r="O71" s="54">
        <f>N71-M71</f>
        <v>0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34.42</v>
      </c>
      <c r="F72" s="146">
        <v>30.26</v>
      </c>
      <c r="G72" s="43">
        <f>F72-E72</f>
        <v>-4.16</v>
      </c>
      <c r="H72" s="35">
        <f>F72/E72*100</f>
        <v>87.91400348634515</v>
      </c>
      <c r="I72" s="53">
        <f>F72-D72</f>
        <v>-11.739999999999998</v>
      </c>
      <c r="J72" s="53">
        <f>F72/D72*100</f>
        <v>72.04761904761905</v>
      </c>
      <c r="K72" s="53">
        <f>F72-34.05</f>
        <v>-3.7899999999999956</v>
      </c>
      <c r="L72" s="53">
        <f>F72/34.05*100</f>
        <v>88.86930983847284</v>
      </c>
      <c r="M72" s="35">
        <f>E72-жовтень!E72</f>
        <v>1</v>
      </c>
      <c r="N72" s="35">
        <f>F72-жовтень!F72</f>
        <v>0.240000000000002</v>
      </c>
      <c r="O72" s="47">
        <f>N72-M72</f>
        <v>-0.759999999999998</v>
      </c>
      <c r="P72" s="53">
        <f>N72/M72*100</f>
        <v>24.0000000000002</v>
      </c>
      <c r="Q72" s="53">
        <f>N72-0.45</f>
        <v>-0.20999999999999802</v>
      </c>
      <c r="R72" s="129">
        <f>N72/0.45</f>
        <v>0.5333333333333378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>
        <f>F73-0</f>
        <v>0.2</v>
      </c>
      <c r="L73" s="53"/>
      <c r="M73" s="35"/>
      <c r="N73" s="35">
        <f>F73-жовтень!F73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11825.15</v>
      </c>
      <c r="F74" s="27">
        <f>F62+F72+F67+F71+F73</f>
        <v>10941.58</v>
      </c>
      <c r="G74" s="44">
        <f>F74-E74</f>
        <v>-883.5699999999997</v>
      </c>
      <c r="H74" s="45">
        <f>F74/E74*100</f>
        <v>92.52804404172463</v>
      </c>
      <c r="I74" s="31">
        <f>F74-D74</f>
        <v>-6230.42</v>
      </c>
      <c r="J74" s="31">
        <f>F74/D74*100</f>
        <v>63.71756347542511</v>
      </c>
      <c r="K74" s="31">
        <f>K62+K67+K71+K72</f>
        <v>2803.51</v>
      </c>
      <c r="L74" s="31"/>
      <c r="M74" s="27">
        <f>M62+M72+M67+M71</f>
        <v>2073.85</v>
      </c>
      <c r="N74" s="27">
        <f>N62+N72+N67+N71+N73</f>
        <v>1095.9799999999998</v>
      </c>
      <c r="O74" s="31">
        <f>N74-M74</f>
        <v>-977.8700000000001</v>
      </c>
      <c r="P74" s="31">
        <f>N74/M74*100</f>
        <v>52.84760228560407</v>
      </c>
      <c r="Q74" s="31">
        <f>N74-8104.96</f>
        <v>-7008.9800000000005</v>
      </c>
      <c r="R74" s="127">
        <f>N74/8104.96</f>
        <v>0.1352233693935565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586737.0900000001</v>
      </c>
      <c r="F75" s="27">
        <f>F55+F74</f>
        <v>617524.1599999999</v>
      </c>
      <c r="G75" s="44">
        <f>F75-E75</f>
        <v>30787.069999999832</v>
      </c>
      <c r="H75" s="45">
        <f>F75/E75*100</f>
        <v>105.24716615409464</v>
      </c>
      <c r="I75" s="31">
        <f>F75-D75</f>
        <v>-7602.910000000033</v>
      </c>
      <c r="J75" s="31">
        <f>F75/D75*100</f>
        <v>98.78378167178074</v>
      </c>
      <c r="K75" s="31">
        <f>K55+K74</f>
        <v>151438.256</v>
      </c>
      <c r="L75" s="31">
        <f>F75/(F75-K75)*100</f>
        <v>132.49149023824586</v>
      </c>
      <c r="M75" s="18">
        <f>M55+M74</f>
        <v>40888.450000000004</v>
      </c>
      <c r="N75" s="18">
        <f>N55+N74</f>
        <v>29989.419999999984</v>
      </c>
      <c r="O75" s="31">
        <f>N75-M75</f>
        <v>-10899.03000000002</v>
      </c>
      <c r="P75" s="31">
        <f>N75/M75*100</f>
        <v>73.34447747469024</v>
      </c>
      <c r="Q75" s="31">
        <f>N75-42872.96</f>
        <v>-12883.540000000015</v>
      </c>
      <c r="R75" s="127">
        <f>N75/42872.96</f>
        <v>0.6994949730552774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12</v>
      </c>
      <c r="D77" s="4" t="s">
        <v>118</v>
      </c>
    </row>
    <row r="78" spans="2:17" ht="31.5">
      <c r="B78" s="71" t="s">
        <v>154</v>
      </c>
      <c r="C78" s="34">
        <f>IF(O55&lt;0,ABS(O55/C77),0)</f>
        <v>826.7633333333351</v>
      </c>
      <c r="D78" s="4" t="s">
        <v>104</v>
      </c>
      <c r="G78" s="252"/>
      <c r="H78" s="252"/>
      <c r="I78" s="252"/>
      <c r="J78" s="252"/>
      <c r="K78" s="115"/>
      <c r="L78" s="115"/>
      <c r="P78" s="29"/>
      <c r="Q78" s="29"/>
    </row>
    <row r="79" spans="2:15" ht="34.5" customHeight="1">
      <c r="B79" s="72" t="s">
        <v>159</v>
      </c>
      <c r="C79" s="111">
        <v>42320</v>
      </c>
      <c r="D79" s="34">
        <v>1817.8</v>
      </c>
      <c r="G79" s="4" t="s">
        <v>166</v>
      </c>
      <c r="N79" s="253"/>
      <c r="O79" s="253"/>
    </row>
    <row r="80" spans="3:15" ht="15.75">
      <c r="C80" s="111">
        <v>42319</v>
      </c>
      <c r="D80" s="34">
        <v>1371.9</v>
      </c>
      <c r="F80" s="155" t="s">
        <v>166</v>
      </c>
      <c r="G80" s="254"/>
      <c r="H80" s="254"/>
      <c r="I80" s="177"/>
      <c r="J80" s="255"/>
      <c r="K80" s="255"/>
      <c r="L80" s="255"/>
      <c r="M80" s="255"/>
      <c r="N80" s="253"/>
      <c r="O80" s="253"/>
    </row>
    <row r="81" spans="3:15" ht="15.75" customHeight="1">
      <c r="C81" s="111">
        <v>42318</v>
      </c>
      <c r="D81" s="34">
        <v>2398.9</v>
      </c>
      <c r="F81" s="90"/>
      <c r="G81" s="254"/>
      <c r="H81" s="254"/>
      <c r="I81" s="177"/>
      <c r="J81" s="259"/>
      <c r="K81" s="259"/>
      <c r="L81" s="259"/>
      <c r="M81" s="259"/>
      <c r="N81" s="253"/>
      <c r="O81" s="253"/>
    </row>
    <row r="82" spans="3:13" ht="15.75" customHeight="1">
      <c r="C82" s="111"/>
      <c r="F82" s="90"/>
      <c r="G82" s="260"/>
      <c r="H82" s="260"/>
      <c r="I82" s="221"/>
      <c r="J82" s="255"/>
      <c r="K82" s="255"/>
      <c r="L82" s="255"/>
      <c r="M82" s="255"/>
    </row>
    <row r="83" spans="2:13" ht="18.75" customHeight="1">
      <c r="B83" s="261" t="s">
        <v>160</v>
      </c>
      <c r="C83" s="262"/>
      <c r="D83" s="108">
        <v>3.42746</v>
      </c>
      <c r="E83" s="220"/>
      <c r="F83" s="222"/>
      <c r="G83" s="254"/>
      <c r="H83" s="254"/>
      <c r="I83" s="223"/>
      <c r="J83" s="255"/>
      <c r="K83" s="255"/>
      <c r="L83" s="255"/>
      <c r="M83" s="255"/>
    </row>
    <row r="84" spans="6:12" ht="9.75" customHeight="1">
      <c r="F84" s="90"/>
      <c r="G84" s="254"/>
      <c r="H84" s="254"/>
      <c r="I84" s="90"/>
      <c r="J84" s="91"/>
      <c r="K84" s="91"/>
      <c r="L84" s="91"/>
    </row>
    <row r="85" spans="2:12" ht="22.5" customHeight="1" hidden="1">
      <c r="B85" s="263" t="s">
        <v>167</v>
      </c>
      <c r="C85" s="264"/>
      <c r="D85" s="110">
        <v>0</v>
      </c>
      <c r="E85" s="70" t="s">
        <v>104</v>
      </c>
      <c r="F85" s="90"/>
      <c r="G85" s="254"/>
      <c r="H85" s="254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4"/>
      <c r="O86" s="254"/>
    </row>
    <row r="87" spans="4:15" ht="15.75">
      <c r="D87" s="104"/>
      <c r="I87" s="34"/>
      <c r="N87" s="265"/>
      <c r="O87" s="265"/>
    </row>
    <row r="88" spans="14:15" ht="15.75">
      <c r="N88" s="254"/>
      <c r="O88" s="254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24" bottom="0.39" header="0.18" footer="0.29"/>
  <pageSetup fitToHeight="1" fitToWidth="1" horizontalDpi="600" verticalDpi="600" orientation="portrait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9" t="s">
        <v>227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117"/>
      <c r="R1" s="118"/>
    </row>
    <row r="2" spans="2:18" s="1" customFormat="1" ht="15.75" customHeight="1">
      <c r="B2" s="230"/>
      <c r="C2" s="230"/>
      <c r="D2" s="230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1"/>
      <c r="B3" s="233" t="s">
        <v>205</v>
      </c>
      <c r="C3" s="234" t="s">
        <v>0</v>
      </c>
      <c r="D3" s="235" t="s">
        <v>216</v>
      </c>
      <c r="E3" s="40"/>
      <c r="F3" s="236" t="s">
        <v>107</v>
      </c>
      <c r="G3" s="237"/>
      <c r="H3" s="237"/>
      <c r="I3" s="237"/>
      <c r="J3" s="238"/>
      <c r="K3" s="114"/>
      <c r="L3" s="114"/>
      <c r="M3" s="239" t="s">
        <v>221</v>
      </c>
      <c r="N3" s="242" t="s">
        <v>202</v>
      </c>
      <c r="O3" s="242"/>
      <c r="P3" s="242"/>
      <c r="Q3" s="242"/>
      <c r="R3" s="242"/>
    </row>
    <row r="4" spans="1:18" ht="22.5" customHeight="1">
      <c r="A4" s="231"/>
      <c r="B4" s="233"/>
      <c r="C4" s="234"/>
      <c r="D4" s="235"/>
      <c r="E4" s="225" t="s">
        <v>199</v>
      </c>
      <c r="F4" s="244" t="s">
        <v>116</v>
      </c>
      <c r="G4" s="246" t="s">
        <v>200</v>
      </c>
      <c r="H4" s="248" t="s">
        <v>201</v>
      </c>
      <c r="I4" s="250" t="s">
        <v>217</v>
      </c>
      <c r="J4" s="240" t="s">
        <v>218</v>
      </c>
      <c r="K4" s="116" t="s">
        <v>172</v>
      </c>
      <c r="L4" s="121" t="s">
        <v>171</v>
      </c>
      <c r="M4" s="240"/>
      <c r="N4" s="256" t="s">
        <v>226</v>
      </c>
      <c r="O4" s="250" t="s">
        <v>136</v>
      </c>
      <c r="P4" s="258" t="s">
        <v>135</v>
      </c>
      <c r="Q4" s="122" t="s">
        <v>172</v>
      </c>
      <c r="R4" s="123" t="s">
        <v>171</v>
      </c>
    </row>
    <row r="5" spans="1:19" ht="92.25" customHeight="1">
      <c r="A5" s="232"/>
      <c r="B5" s="233"/>
      <c r="C5" s="234"/>
      <c r="D5" s="235"/>
      <c r="E5" s="226"/>
      <c r="F5" s="245"/>
      <c r="G5" s="247"/>
      <c r="H5" s="249"/>
      <c r="I5" s="251"/>
      <c r="J5" s="241"/>
      <c r="K5" s="227" t="s">
        <v>224</v>
      </c>
      <c r="L5" s="243"/>
      <c r="M5" s="241"/>
      <c r="N5" s="257"/>
      <c r="O5" s="251"/>
      <c r="P5" s="258"/>
      <c r="Q5" s="227" t="s">
        <v>176</v>
      </c>
      <c r="R5" s="24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52"/>
      <c r="H104" s="252"/>
      <c r="I104" s="252"/>
      <c r="J104" s="252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53"/>
      <c r="O105" s="253"/>
    </row>
    <row r="106" spans="3:15" ht="15.75">
      <c r="C106" s="111">
        <v>42061</v>
      </c>
      <c r="D106" s="34">
        <v>6003.3</v>
      </c>
      <c r="F106" s="155" t="s">
        <v>166</v>
      </c>
      <c r="G106" s="254"/>
      <c r="H106" s="254"/>
      <c r="I106" s="177"/>
      <c r="J106" s="255"/>
      <c r="K106" s="255"/>
      <c r="L106" s="255"/>
      <c r="M106" s="255"/>
      <c r="N106" s="253"/>
      <c r="O106" s="253"/>
    </row>
    <row r="107" spans="3:15" ht="15.75" customHeight="1">
      <c r="C107" s="111">
        <v>42060</v>
      </c>
      <c r="D107" s="34">
        <v>1551.3</v>
      </c>
      <c r="G107" s="266" t="s">
        <v>151</v>
      </c>
      <c r="H107" s="266"/>
      <c r="I107" s="106">
        <v>8909.73221</v>
      </c>
      <c r="J107" s="259"/>
      <c r="K107" s="259"/>
      <c r="L107" s="259"/>
      <c r="M107" s="259"/>
      <c r="N107" s="253"/>
      <c r="O107" s="253"/>
    </row>
    <row r="108" spans="7:13" ht="15.75" customHeight="1">
      <c r="G108" s="274" t="s">
        <v>155</v>
      </c>
      <c r="H108" s="274"/>
      <c r="I108" s="103">
        <v>0</v>
      </c>
      <c r="J108" s="255"/>
      <c r="K108" s="255"/>
      <c r="L108" s="255"/>
      <c r="M108" s="255"/>
    </row>
    <row r="109" spans="2:13" ht="18.75" customHeight="1">
      <c r="B109" s="261" t="s">
        <v>160</v>
      </c>
      <c r="C109" s="262"/>
      <c r="D109" s="108">
        <f>138305956.27/1000</f>
        <v>138305.95627000002</v>
      </c>
      <c r="E109" s="73"/>
      <c r="F109" s="156" t="s">
        <v>147</v>
      </c>
      <c r="G109" s="266" t="s">
        <v>149</v>
      </c>
      <c r="H109" s="266"/>
      <c r="I109" s="107">
        <v>129396.23</v>
      </c>
      <c r="J109" s="255"/>
      <c r="K109" s="255"/>
      <c r="L109" s="255"/>
      <c r="M109" s="255"/>
    </row>
    <row r="110" spans="7:12" ht="9.75" customHeight="1">
      <c r="G110" s="254"/>
      <c r="H110" s="254"/>
      <c r="I110" s="90"/>
      <c r="J110" s="91"/>
      <c r="K110" s="91"/>
      <c r="L110" s="91"/>
    </row>
    <row r="111" spans="2:12" ht="22.5" customHeight="1" hidden="1">
      <c r="B111" s="263" t="s">
        <v>167</v>
      </c>
      <c r="C111" s="264"/>
      <c r="D111" s="110">
        <v>0</v>
      </c>
      <c r="E111" s="70" t="s">
        <v>104</v>
      </c>
      <c r="G111" s="254"/>
      <c r="H111" s="254"/>
      <c r="I111" s="90"/>
      <c r="J111" s="91"/>
      <c r="K111" s="91"/>
      <c r="L111" s="91"/>
    </row>
    <row r="112" spans="4:15" ht="15.75">
      <c r="D112" s="105"/>
      <c r="N112" s="254"/>
      <c r="O112" s="254"/>
    </row>
    <row r="113" spans="4:15" ht="15.75">
      <c r="D113" s="104"/>
      <c r="I113" s="34"/>
      <c r="N113" s="265"/>
      <c r="O113" s="265"/>
    </row>
    <row r="114" spans="14:15" ht="15.75">
      <c r="N114" s="254"/>
      <c r="O114" s="254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9" t="s">
        <v>193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117"/>
      <c r="R1" s="118"/>
    </row>
    <row r="2" spans="2:18" s="1" customFormat="1" ht="15.75" customHeight="1">
      <c r="B2" s="230"/>
      <c r="C2" s="230"/>
      <c r="D2" s="230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1"/>
      <c r="B3" s="233" t="s">
        <v>205</v>
      </c>
      <c r="C3" s="234" t="s">
        <v>0</v>
      </c>
      <c r="D3" s="235" t="s">
        <v>216</v>
      </c>
      <c r="E3" s="40"/>
      <c r="F3" s="236" t="s">
        <v>107</v>
      </c>
      <c r="G3" s="237"/>
      <c r="H3" s="237"/>
      <c r="I3" s="237"/>
      <c r="J3" s="238"/>
      <c r="K3" s="114"/>
      <c r="L3" s="114"/>
      <c r="M3" s="239" t="s">
        <v>220</v>
      </c>
      <c r="N3" s="242" t="s">
        <v>175</v>
      </c>
      <c r="O3" s="242"/>
      <c r="P3" s="242"/>
      <c r="Q3" s="242"/>
      <c r="R3" s="242"/>
    </row>
    <row r="4" spans="1:18" ht="22.5" customHeight="1">
      <c r="A4" s="231"/>
      <c r="B4" s="233"/>
      <c r="C4" s="234"/>
      <c r="D4" s="235"/>
      <c r="E4" s="225" t="s">
        <v>219</v>
      </c>
      <c r="F4" s="244" t="s">
        <v>116</v>
      </c>
      <c r="G4" s="246" t="s">
        <v>173</v>
      </c>
      <c r="H4" s="281" t="s">
        <v>174</v>
      </c>
      <c r="I4" s="279" t="s">
        <v>217</v>
      </c>
      <c r="J4" s="277" t="s">
        <v>218</v>
      </c>
      <c r="K4" s="116" t="s">
        <v>172</v>
      </c>
      <c r="L4" s="121" t="s">
        <v>171</v>
      </c>
      <c r="M4" s="240"/>
      <c r="N4" s="256" t="s">
        <v>194</v>
      </c>
      <c r="O4" s="279" t="s">
        <v>136</v>
      </c>
      <c r="P4" s="242" t="s">
        <v>135</v>
      </c>
      <c r="Q4" s="122" t="s">
        <v>172</v>
      </c>
      <c r="R4" s="123" t="s">
        <v>171</v>
      </c>
    </row>
    <row r="5" spans="1:19" ht="92.25" customHeight="1">
      <c r="A5" s="232"/>
      <c r="B5" s="233"/>
      <c r="C5" s="234"/>
      <c r="D5" s="235"/>
      <c r="E5" s="226"/>
      <c r="F5" s="245"/>
      <c r="G5" s="247"/>
      <c r="H5" s="282"/>
      <c r="I5" s="280"/>
      <c r="J5" s="278"/>
      <c r="K5" s="227" t="s">
        <v>188</v>
      </c>
      <c r="L5" s="243"/>
      <c r="M5" s="241"/>
      <c r="N5" s="257"/>
      <c r="O5" s="280"/>
      <c r="P5" s="242"/>
      <c r="Q5" s="227" t="s">
        <v>176</v>
      </c>
      <c r="R5" s="24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52"/>
      <c r="H102" s="252"/>
      <c r="I102" s="252"/>
      <c r="J102" s="252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53"/>
      <c r="O103" s="253"/>
    </row>
    <row r="104" spans="3:15" ht="15.75">
      <c r="C104" s="111">
        <v>42033</v>
      </c>
      <c r="D104" s="34">
        <v>2896.5</v>
      </c>
      <c r="F104" s="155" t="s">
        <v>166</v>
      </c>
      <c r="G104" s="266" t="s">
        <v>151</v>
      </c>
      <c r="H104" s="266"/>
      <c r="I104" s="106">
        <f>'січень '!I139</f>
        <v>8909.733</v>
      </c>
      <c r="J104" s="275" t="s">
        <v>161</v>
      </c>
      <c r="K104" s="275"/>
      <c r="L104" s="275"/>
      <c r="M104" s="275"/>
      <c r="N104" s="253"/>
      <c r="O104" s="253"/>
    </row>
    <row r="105" spans="3:15" ht="15.75">
      <c r="C105" s="111">
        <v>42032</v>
      </c>
      <c r="D105" s="34">
        <v>2838.1</v>
      </c>
      <c r="G105" s="274" t="s">
        <v>155</v>
      </c>
      <c r="H105" s="274"/>
      <c r="I105" s="103">
        <f>'січень '!I140</f>
        <v>0</v>
      </c>
      <c r="J105" s="276" t="s">
        <v>162</v>
      </c>
      <c r="K105" s="276"/>
      <c r="L105" s="276"/>
      <c r="M105" s="276"/>
      <c r="N105" s="253"/>
      <c r="O105" s="253"/>
    </row>
    <row r="106" spans="7:13" ht="15.75" customHeight="1">
      <c r="G106" s="266" t="s">
        <v>148</v>
      </c>
      <c r="H106" s="266"/>
      <c r="I106" s="103">
        <f>'січень '!I141</f>
        <v>0</v>
      </c>
      <c r="J106" s="275" t="s">
        <v>163</v>
      </c>
      <c r="K106" s="275"/>
      <c r="L106" s="275"/>
      <c r="M106" s="275"/>
    </row>
    <row r="107" spans="2:13" ht="18.75" customHeight="1">
      <c r="B107" s="261" t="s">
        <v>160</v>
      </c>
      <c r="C107" s="262"/>
      <c r="D107" s="108">
        <f>'січень '!D142</f>
        <v>132375.63</v>
      </c>
      <c r="E107" s="73"/>
      <c r="F107" s="156" t="s">
        <v>147</v>
      </c>
      <c r="G107" s="266" t="s">
        <v>149</v>
      </c>
      <c r="H107" s="266"/>
      <c r="I107" s="107">
        <f>'січень '!I142</f>
        <v>123465.893</v>
      </c>
      <c r="J107" s="275" t="s">
        <v>164</v>
      </c>
      <c r="K107" s="275"/>
      <c r="L107" s="275"/>
      <c r="M107" s="275"/>
    </row>
    <row r="108" spans="7:12" ht="9.75" customHeight="1">
      <c r="G108" s="254"/>
      <c r="H108" s="254"/>
      <c r="I108" s="90"/>
      <c r="J108" s="91"/>
      <c r="K108" s="91"/>
      <c r="L108" s="91"/>
    </row>
    <row r="109" spans="2:12" ht="22.5" customHeight="1" hidden="1">
      <c r="B109" s="263" t="s">
        <v>167</v>
      </c>
      <c r="C109" s="264"/>
      <c r="D109" s="110">
        <v>0</v>
      </c>
      <c r="E109" s="70" t="s">
        <v>104</v>
      </c>
      <c r="G109" s="254"/>
      <c r="H109" s="254"/>
      <c r="I109" s="90"/>
      <c r="J109" s="91"/>
      <c r="K109" s="91"/>
      <c r="L109" s="91"/>
    </row>
    <row r="110" spans="4:15" ht="15.75">
      <c r="D110" s="105"/>
      <c r="N110" s="254"/>
      <c r="O110" s="254"/>
    </row>
    <row r="111" spans="4:15" ht="15.75">
      <c r="D111" s="104"/>
      <c r="I111" s="34"/>
      <c r="N111" s="265"/>
      <c r="O111" s="265"/>
    </row>
    <row r="112" spans="14:15" ht="15.75">
      <c r="N112" s="254"/>
      <c r="O112" s="254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29" t="s">
        <v>193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117"/>
      <c r="R1" s="118"/>
    </row>
    <row r="2" spans="2:18" s="1" customFormat="1" ht="15.75" customHeight="1">
      <c r="B2" s="230"/>
      <c r="C2" s="230"/>
      <c r="D2" s="230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1"/>
      <c r="B3" s="233" t="s">
        <v>203</v>
      </c>
      <c r="C3" s="234" t="s">
        <v>0</v>
      </c>
      <c r="D3" s="235" t="s">
        <v>190</v>
      </c>
      <c r="E3" s="40"/>
      <c r="F3" s="236" t="s">
        <v>107</v>
      </c>
      <c r="G3" s="237"/>
      <c r="H3" s="237"/>
      <c r="I3" s="237"/>
      <c r="J3" s="238"/>
      <c r="K3" s="114"/>
      <c r="L3" s="114"/>
      <c r="M3" s="239" t="s">
        <v>187</v>
      </c>
      <c r="N3" s="242" t="s">
        <v>175</v>
      </c>
      <c r="O3" s="242"/>
      <c r="P3" s="242"/>
      <c r="Q3" s="242"/>
      <c r="R3" s="242"/>
    </row>
    <row r="4" spans="1:18" ht="22.5" customHeight="1">
      <c r="A4" s="231"/>
      <c r="B4" s="233"/>
      <c r="C4" s="234"/>
      <c r="D4" s="235"/>
      <c r="E4" s="225" t="s">
        <v>153</v>
      </c>
      <c r="F4" s="244" t="s">
        <v>116</v>
      </c>
      <c r="G4" s="246" t="s">
        <v>173</v>
      </c>
      <c r="H4" s="281" t="s">
        <v>174</v>
      </c>
      <c r="I4" s="279" t="s">
        <v>186</v>
      </c>
      <c r="J4" s="277" t="s">
        <v>189</v>
      </c>
      <c r="K4" s="116" t="s">
        <v>172</v>
      </c>
      <c r="L4" s="121" t="s">
        <v>171</v>
      </c>
      <c r="M4" s="240"/>
      <c r="N4" s="256" t="s">
        <v>194</v>
      </c>
      <c r="O4" s="279" t="s">
        <v>136</v>
      </c>
      <c r="P4" s="242" t="s">
        <v>135</v>
      </c>
      <c r="Q4" s="122" t="s">
        <v>172</v>
      </c>
      <c r="R4" s="123" t="s">
        <v>171</v>
      </c>
    </row>
    <row r="5" spans="1:19" ht="92.25" customHeight="1">
      <c r="A5" s="232"/>
      <c r="B5" s="233"/>
      <c r="C5" s="234"/>
      <c r="D5" s="235"/>
      <c r="E5" s="226"/>
      <c r="F5" s="245"/>
      <c r="G5" s="247"/>
      <c r="H5" s="282"/>
      <c r="I5" s="280"/>
      <c r="J5" s="278"/>
      <c r="K5" s="227" t="s">
        <v>188</v>
      </c>
      <c r="L5" s="243"/>
      <c r="M5" s="241"/>
      <c r="N5" s="257"/>
      <c r="O5" s="280"/>
      <c r="P5" s="242"/>
      <c r="Q5" s="227" t="s">
        <v>176</v>
      </c>
      <c r="R5" s="243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52"/>
      <c r="H137" s="252"/>
      <c r="I137" s="252"/>
      <c r="J137" s="252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53"/>
      <c r="O138" s="253"/>
    </row>
    <row r="139" spans="3:15" ht="15.75">
      <c r="C139" s="111">
        <v>42033</v>
      </c>
      <c r="D139" s="34">
        <v>2896.5</v>
      </c>
      <c r="F139" s="155" t="s">
        <v>166</v>
      </c>
      <c r="G139" s="266" t="s">
        <v>151</v>
      </c>
      <c r="H139" s="266"/>
      <c r="I139" s="106">
        <f>8909.733</f>
        <v>8909.733</v>
      </c>
      <c r="J139" s="275" t="s">
        <v>161</v>
      </c>
      <c r="K139" s="275"/>
      <c r="L139" s="275"/>
      <c r="M139" s="275"/>
      <c r="N139" s="253"/>
      <c r="O139" s="253"/>
    </row>
    <row r="140" spans="3:15" ht="15.75">
      <c r="C140" s="111">
        <v>42032</v>
      </c>
      <c r="D140" s="34">
        <v>2838.1</v>
      </c>
      <c r="G140" s="274" t="s">
        <v>155</v>
      </c>
      <c r="H140" s="274"/>
      <c r="I140" s="103">
        <v>0</v>
      </c>
      <c r="J140" s="276" t="s">
        <v>162</v>
      </c>
      <c r="K140" s="276"/>
      <c r="L140" s="276"/>
      <c r="M140" s="276"/>
      <c r="N140" s="253"/>
      <c r="O140" s="253"/>
    </row>
    <row r="141" spans="7:13" ht="15.75" customHeight="1">
      <c r="G141" s="266" t="s">
        <v>148</v>
      </c>
      <c r="H141" s="266"/>
      <c r="I141" s="103">
        <v>0</v>
      </c>
      <c r="J141" s="275" t="s">
        <v>163</v>
      </c>
      <c r="K141" s="275"/>
      <c r="L141" s="275"/>
      <c r="M141" s="275"/>
    </row>
    <row r="142" spans="2:13" ht="18.75" customHeight="1">
      <c r="B142" s="261" t="s">
        <v>160</v>
      </c>
      <c r="C142" s="262"/>
      <c r="D142" s="108">
        <f>132375.63</f>
        <v>132375.63</v>
      </c>
      <c r="E142" s="73"/>
      <c r="F142" s="156" t="s">
        <v>147</v>
      </c>
      <c r="G142" s="266" t="s">
        <v>149</v>
      </c>
      <c r="H142" s="266"/>
      <c r="I142" s="107">
        <f>123465.893</f>
        <v>123465.893</v>
      </c>
      <c r="J142" s="275" t="s">
        <v>164</v>
      </c>
      <c r="K142" s="275"/>
      <c r="L142" s="275"/>
      <c r="M142" s="275"/>
    </row>
    <row r="143" spans="7:12" ht="9.75" customHeight="1">
      <c r="G143" s="254"/>
      <c r="H143" s="254"/>
      <c r="I143" s="90"/>
      <c r="J143" s="91"/>
      <c r="K143" s="91"/>
      <c r="L143" s="91"/>
    </row>
    <row r="144" spans="2:12" ht="22.5" customHeight="1" hidden="1">
      <c r="B144" s="263" t="s">
        <v>167</v>
      </c>
      <c r="C144" s="264"/>
      <c r="D144" s="110">
        <v>0</v>
      </c>
      <c r="E144" s="70" t="s">
        <v>104</v>
      </c>
      <c r="G144" s="254"/>
      <c r="H144" s="254"/>
      <c r="I144" s="90"/>
      <c r="J144" s="91"/>
      <c r="K144" s="91"/>
      <c r="L144" s="91"/>
    </row>
    <row r="145" spans="4:15" ht="15.75">
      <c r="D145" s="105"/>
      <c r="N145" s="254"/>
      <c r="O145" s="254"/>
    </row>
    <row r="146" spans="4:15" ht="15.75">
      <c r="D146" s="104"/>
      <c r="I146" s="34"/>
      <c r="N146" s="265"/>
      <c r="O146" s="265"/>
    </row>
    <row r="147" spans="14:15" ht="15.75">
      <c r="N147" s="254"/>
      <c r="O147" s="25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1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26" sqref="K26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9" t="s">
        <v>313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117"/>
      <c r="R1" s="118"/>
    </row>
    <row r="2" spans="2:18" s="1" customFormat="1" ht="15.75" customHeight="1">
      <c r="B2" s="230"/>
      <c r="C2" s="230"/>
      <c r="D2" s="230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1"/>
      <c r="B3" s="233"/>
      <c r="C3" s="234" t="s">
        <v>0</v>
      </c>
      <c r="D3" s="235" t="s">
        <v>261</v>
      </c>
      <c r="E3" s="40"/>
      <c r="F3" s="236" t="s">
        <v>107</v>
      </c>
      <c r="G3" s="237"/>
      <c r="H3" s="237"/>
      <c r="I3" s="237"/>
      <c r="J3" s="238"/>
      <c r="K3" s="114"/>
      <c r="L3" s="114"/>
      <c r="M3" s="239" t="s">
        <v>311</v>
      </c>
      <c r="N3" s="242" t="s">
        <v>312</v>
      </c>
      <c r="O3" s="242"/>
      <c r="P3" s="242"/>
      <c r="Q3" s="242"/>
      <c r="R3" s="242"/>
    </row>
    <row r="4" spans="1:18" ht="22.5" customHeight="1">
      <c r="A4" s="231"/>
      <c r="B4" s="233"/>
      <c r="C4" s="234"/>
      <c r="D4" s="235"/>
      <c r="E4" s="225" t="s">
        <v>307</v>
      </c>
      <c r="F4" s="244" t="s">
        <v>116</v>
      </c>
      <c r="G4" s="246" t="s">
        <v>308</v>
      </c>
      <c r="H4" s="248" t="s">
        <v>309</v>
      </c>
      <c r="I4" s="250" t="s">
        <v>217</v>
      </c>
      <c r="J4" s="240" t="s">
        <v>218</v>
      </c>
      <c r="K4" s="116" t="s">
        <v>172</v>
      </c>
      <c r="L4" s="121" t="s">
        <v>171</v>
      </c>
      <c r="M4" s="240"/>
      <c r="N4" s="256" t="s">
        <v>314</v>
      </c>
      <c r="O4" s="250" t="s">
        <v>136</v>
      </c>
      <c r="P4" s="258" t="s">
        <v>135</v>
      </c>
      <c r="Q4" s="122" t="s">
        <v>172</v>
      </c>
      <c r="R4" s="123" t="s">
        <v>171</v>
      </c>
    </row>
    <row r="5" spans="1:19" ht="92.25" customHeight="1">
      <c r="A5" s="232"/>
      <c r="B5" s="233"/>
      <c r="C5" s="234"/>
      <c r="D5" s="235"/>
      <c r="E5" s="226"/>
      <c r="F5" s="245"/>
      <c r="G5" s="247"/>
      <c r="H5" s="249"/>
      <c r="I5" s="251"/>
      <c r="J5" s="241"/>
      <c r="K5" s="227" t="s">
        <v>310</v>
      </c>
      <c r="L5" s="243"/>
      <c r="M5" s="241"/>
      <c r="N5" s="257"/>
      <c r="O5" s="251"/>
      <c r="P5" s="258"/>
      <c r="Q5" s="227" t="s">
        <v>176</v>
      </c>
      <c r="R5" s="24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503525.47000000003</v>
      </c>
      <c r="F8" s="18">
        <f>F9+F15+F18+F19+F20+F32+F17</f>
        <v>542586.23</v>
      </c>
      <c r="G8" s="18">
        <f aca="true" t="shared" si="0" ref="G8:G54">F8-E8</f>
        <v>39060.75999999995</v>
      </c>
      <c r="H8" s="45">
        <f>F8/E8*100</f>
        <v>107.75745465269115</v>
      </c>
      <c r="I8" s="31">
        <f aca="true" t="shared" si="1" ref="I8:I54">F8-D8</f>
        <v>-29702.77000000002</v>
      </c>
      <c r="J8" s="31">
        <f aca="true" t="shared" si="2" ref="J8:J14">F8/D8*100</f>
        <v>94.80983034795356</v>
      </c>
      <c r="K8" s="18">
        <f>K9+K15+K18+K19+K20+K32</f>
        <v>141361.388</v>
      </c>
      <c r="L8" s="18"/>
      <c r="M8" s="18">
        <f>M9+M15+M18+M19+M20+M32+M17</f>
        <v>44772.97000000001</v>
      </c>
      <c r="N8" s="18">
        <f>N9+N15+N18+N19+N20+N32+N17</f>
        <v>61706.98000000002</v>
      </c>
      <c r="O8" s="31">
        <f aca="true" t="shared" si="3" ref="O8:O54">N8-M8</f>
        <v>16934.01000000001</v>
      </c>
      <c r="P8" s="31">
        <f>F8/M8*100</f>
        <v>1211.8611519405567</v>
      </c>
      <c r="Q8" s="31">
        <f>N8-33748.16</f>
        <v>27958.820000000014</v>
      </c>
      <c r="R8" s="125">
        <f>N8/33748.16</f>
        <v>1.8284546476015289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269865.12</v>
      </c>
      <c r="F9" s="143">
        <v>296275.33</v>
      </c>
      <c r="G9" s="43">
        <f t="shared" si="0"/>
        <v>26410.21000000002</v>
      </c>
      <c r="H9" s="35">
        <f aca="true" t="shared" si="4" ref="H9:H32">F9/E9*100</f>
        <v>109.78644813379366</v>
      </c>
      <c r="I9" s="50">
        <f t="shared" si="1"/>
        <v>-16414.669999999984</v>
      </c>
      <c r="J9" s="50">
        <f t="shared" si="2"/>
        <v>94.75049729764305</v>
      </c>
      <c r="K9" s="132">
        <f>F9-316022.19/75*60</f>
        <v>43457.57800000001</v>
      </c>
      <c r="L9" s="132">
        <f>F9/(316022.19/75*60)*100</f>
        <v>117.18929056848826</v>
      </c>
      <c r="M9" s="35">
        <f>E9-вересень!E9</f>
        <v>21250.570000000007</v>
      </c>
      <c r="N9" s="35">
        <f>F9-вересень!F9</f>
        <v>31899.920000000042</v>
      </c>
      <c r="O9" s="47">
        <f t="shared" si="3"/>
        <v>10649.350000000035</v>
      </c>
      <c r="P9" s="50">
        <f aca="true" t="shared" si="5" ref="P9:P32">N9/M9*100</f>
        <v>150.11324402121934</v>
      </c>
      <c r="Q9" s="132">
        <f>N9-26568.11</f>
        <v>5331.810000000041</v>
      </c>
      <c r="R9" s="133">
        <f>N9/26568.11</f>
        <v>1.200684580122562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235960.82</v>
      </c>
      <c r="F10" s="144">
        <v>262635.28</v>
      </c>
      <c r="G10" s="135">
        <f t="shared" si="0"/>
        <v>26674.46000000002</v>
      </c>
      <c r="H10" s="137">
        <f t="shared" si="4"/>
        <v>111.3046140456708</v>
      </c>
      <c r="I10" s="136">
        <f t="shared" si="1"/>
        <v>22225.280000000028</v>
      </c>
      <c r="J10" s="136">
        <f t="shared" si="2"/>
        <v>109.24474023543115</v>
      </c>
      <c r="K10" s="138">
        <f>F10-281171.58/75*60</f>
        <v>37698.01600000003</v>
      </c>
      <c r="L10" s="138">
        <f>F10/(281171.58/75*60)*100</f>
        <v>116.75934673056219</v>
      </c>
      <c r="M10" s="137">
        <f>E10-вересень!E10</f>
        <v>17470.570000000007</v>
      </c>
      <c r="N10" s="137">
        <f>F10-вересень!F10</f>
        <v>28698.800000000017</v>
      </c>
      <c r="O10" s="138">
        <f t="shared" si="3"/>
        <v>11228.23000000001</v>
      </c>
      <c r="P10" s="136">
        <f t="shared" si="5"/>
        <v>164.26939704886564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18917.9</v>
      </c>
      <c r="F11" s="144">
        <v>15809.04</v>
      </c>
      <c r="G11" s="135">
        <f t="shared" si="0"/>
        <v>-3108.8600000000006</v>
      </c>
      <c r="H11" s="137">
        <f t="shared" si="4"/>
        <v>83.56656922808557</v>
      </c>
      <c r="I11" s="136">
        <f t="shared" si="1"/>
        <v>-7890.959999999999</v>
      </c>
      <c r="J11" s="136">
        <f t="shared" si="2"/>
        <v>66.70481012658229</v>
      </c>
      <c r="K11" s="138">
        <f>F11-21169.22/75*60</f>
        <v>-1126.336000000003</v>
      </c>
      <c r="L11" s="138">
        <f>F11/(21169.22/75*60)*100</f>
        <v>93.34921173288386</v>
      </c>
      <c r="M11" s="137">
        <f>E11-вересень!E11</f>
        <v>2130</v>
      </c>
      <c r="N11" s="137">
        <f>F11-вересень!F11</f>
        <v>1806.3500000000004</v>
      </c>
      <c r="O11" s="138">
        <f t="shared" si="3"/>
        <v>-323.64999999999964</v>
      </c>
      <c r="P11" s="136">
        <f t="shared" si="5"/>
        <v>84.80516431924883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4449</v>
      </c>
      <c r="F12" s="144">
        <v>4169.14</v>
      </c>
      <c r="G12" s="135">
        <f t="shared" si="0"/>
        <v>-279.8599999999997</v>
      </c>
      <c r="H12" s="137">
        <f t="shared" si="4"/>
        <v>93.70959766239605</v>
      </c>
      <c r="I12" s="136">
        <f t="shared" si="1"/>
        <v>-1630.8599999999997</v>
      </c>
      <c r="J12" s="136">
        <f t="shared" si="2"/>
        <v>71.88172413793103</v>
      </c>
      <c r="K12" s="138">
        <f>F12-5687.46/75*60</f>
        <v>-380.82800000000043</v>
      </c>
      <c r="L12" s="138">
        <f>F12/(5687.46*60)*100</f>
        <v>1.2217345997451705</v>
      </c>
      <c r="M12" s="137">
        <f>E12-вересень!E12</f>
        <v>540</v>
      </c>
      <c r="N12" s="137">
        <f>F12-вересень!F12</f>
        <v>424.50000000000045</v>
      </c>
      <c r="O12" s="138">
        <f t="shared" si="3"/>
        <v>-115.49999999999955</v>
      </c>
      <c r="P12" s="136">
        <f t="shared" si="5"/>
        <v>78.6111111111112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6943.4</v>
      </c>
      <c r="F13" s="144">
        <v>6098.87</v>
      </c>
      <c r="G13" s="135">
        <f t="shared" si="0"/>
        <v>-844.5299999999997</v>
      </c>
      <c r="H13" s="137">
        <f t="shared" si="4"/>
        <v>87.83693867557682</v>
      </c>
      <c r="I13" s="136">
        <f t="shared" si="1"/>
        <v>-2301.13</v>
      </c>
      <c r="J13" s="136">
        <f t="shared" si="2"/>
        <v>72.60559523809523</v>
      </c>
      <c r="K13" s="138">
        <f>F13-7878.81/75*60</f>
        <v>-204.1780000000008</v>
      </c>
      <c r="L13" s="138">
        <f>F13/(7878.81/75*60)*100</f>
        <v>96.76064659510763</v>
      </c>
      <c r="M13" s="137">
        <f>E13-вересень!E13</f>
        <v>720</v>
      </c>
      <c r="N13" s="137">
        <f>F13-вересень!F13</f>
        <v>368.6300000000001</v>
      </c>
      <c r="O13" s="138">
        <f t="shared" si="3"/>
        <v>-351.3699999999999</v>
      </c>
      <c r="P13" s="136">
        <f t="shared" si="5"/>
        <v>51.19861111111113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3594</v>
      </c>
      <c r="F14" s="144">
        <v>7562.97</v>
      </c>
      <c r="G14" s="135">
        <f t="shared" si="0"/>
        <v>3968.9700000000003</v>
      </c>
      <c r="H14" s="137">
        <f t="shared" si="4"/>
        <v>210.4332220367279</v>
      </c>
      <c r="I14" s="136">
        <f t="shared" si="1"/>
        <v>3182.9700000000003</v>
      </c>
      <c r="J14" s="136">
        <f t="shared" si="2"/>
        <v>172.6705479452055</v>
      </c>
      <c r="K14" s="138">
        <f>F14-115.12/75*60</f>
        <v>7470.874</v>
      </c>
      <c r="L14" s="138">
        <f>F14/(115.12/75*60)*100</f>
        <v>8212.050469075748</v>
      </c>
      <c r="M14" s="137">
        <f>E14-вересень!E14</f>
        <v>390</v>
      </c>
      <c r="N14" s="137">
        <f>F14-вересень!F14</f>
        <v>601.6100000000006</v>
      </c>
      <c r="O14" s="138">
        <f t="shared" si="3"/>
        <v>211.61000000000058</v>
      </c>
      <c r="P14" s="136">
        <f t="shared" si="5"/>
        <v>154.2589743589745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-590.87</v>
      </c>
      <c r="G15" s="43">
        <f t="shared" si="0"/>
        <v>-762.27</v>
      </c>
      <c r="H15" s="35"/>
      <c r="I15" s="50">
        <f t="shared" si="1"/>
        <v>-590.87</v>
      </c>
      <c r="J15" s="50" t="e">
        <f>F15/D15*100</f>
        <v>#DIV/0!</v>
      </c>
      <c r="K15" s="53">
        <f>F15-(-880.89)</f>
        <v>290.02</v>
      </c>
      <c r="L15" s="53">
        <f>F15/(-880.89)*100</f>
        <v>67.07647946962732</v>
      </c>
      <c r="M15" s="35">
        <f>E15-вересень!E15</f>
        <v>0</v>
      </c>
      <c r="N15" s="35">
        <f>F15-вересень!F15</f>
        <v>75.82000000000005</v>
      </c>
      <c r="O15" s="47">
        <f t="shared" si="3"/>
        <v>75.82000000000005</v>
      </c>
      <c r="P15" s="50"/>
      <c r="Q15" s="50">
        <f>N15-358.81</f>
        <v>-282.98999999999995</v>
      </c>
      <c r="R15" s="126">
        <f>N15/358.81</f>
        <v>0.2113096067556647</v>
      </c>
    </row>
    <row r="16" spans="1:18" s="6" customFormat="1" ht="15.7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 t="shared" si="0"/>
        <v>0</v>
      </c>
      <c r="H16" s="137"/>
      <c r="I16" s="136">
        <f t="shared" si="1"/>
        <v>0</v>
      </c>
      <c r="J16" s="136"/>
      <c r="K16" s="138">
        <f>F16-(-381.9)</f>
        <v>381.9</v>
      </c>
      <c r="L16" s="138">
        <f>F16/(-381.9)*100</f>
        <v>0</v>
      </c>
      <c r="M16" s="35">
        <f>E16-вересень!E16</f>
        <v>0</v>
      </c>
      <c r="N16" s="35">
        <f>F16-вересень!F16</f>
        <v>1165.92</v>
      </c>
      <c r="O16" s="138">
        <f t="shared" si="3"/>
        <v>1165.92</v>
      </c>
      <c r="P16" s="50"/>
      <c r="Q16" s="136">
        <f>N16-358.81</f>
        <v>807.1100000000001</v>
      </c>
      <c r="R16" s="141">
        <f>N16/358.79</f>
        <v>3.2495888960115944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0.14</v>
      </c>
      <c r="G17" s="135"/>
      <c r="H17" s="137"/>
      <c r="I17" s="136"/>
      <c r="J17" s="136"/>
      <c r="K17" s="138">
        <f>F17-0.04</f>
        <v>0.1</v>
      </c>
      <c r="L17" s="138"/>
      <c r="M17" s="35">
        <f>E17-вересень!E17</f>
        <v>0</v>
      </c>
      <c r="N17" s="35">
        <f>F17-вересень!F17</f>
        <v>0.05000000000000002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E18-вересень!E18</f>
        <v>0</v>
      </c>
      <c r="N18" s="35">
        <f>F18-вересень!F18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57522.75</v>
      </c>
      <c r="F19" s="168">
        <v>58485.05</v>
      </c>
      <c r="G19" s="43">
        <f t="shared" si="0"/>
        <v>962.3000000000029</v>
      </c>
      <c r="H19" s="35">
        <f t="shared" si="4"/>
        <v>101.67290332955223</v>
      </c>
      <c r="I19" s="50">
        <f t="shared" si="1"/>
        <v>-3724.949999999997</v>
      </c>
      <c r="J19" s="178">
        <f>F19/D19*100</f>
        <v>94.01229705835075</v>
      </c>
      <c r="K19" s="179">
        <f>F19-0</f>
        <v>58485.05</v>
      </c>
      <c r="L19" s="180"/>
      <c r="M19" s="35">
        <f>E19-вересень!E19</f>
        <v>6800</v>
      </c>
      <c r="N19" s="35">
        <f>F19-вересень!F19</f>
        <v>7016.18</v>
      </c>
      <c r="O19" s="47">
        <f t="shared" si="3"/>
        <v>216.1800000000003</v>
      </c>
      <c r="P19" s="50">
        <f t="shared" si="5"/>
        <v>103.17911764705883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170193.9</v>
      </c>
      <c r="F20" s="169">
        <f>F21+F25+F27+F26</f>
        <v>182815.02999999997</v>
      </c>
      <c r="G20" s="43">
        <f t="shared" si="0"/>
        <v>12621.129999999976</v>
      </c>
      <c r="H20" s="35">
        <f t="shared" si="4"/>
        <v>107.41573581661856</v>
      </c>
      <c r="I20" s="50">
        <f t="shared" si="1"/>
        <v>-7054.97000000003</v>
      </c>
      <c r="J20" s="178">
        <f aca="true" t="shared" si="6" ref="J20:J46">F20/D20*100</f>
        <v>96.28431558434717</v>
      </c>
      <c r="K20" s="178">
        <f>K21+K25+K26+K27</f>
        <v>40909.45999999999</v>
      </c>
      <c r="L20" s="136"/>
      <c r="M20" s="35">
        <f>E20-вересень!E20</f>
        <v>16715.5</v>
      </c>
      <c r="N20" s="35">
        <f>F20-вересень!F20</f>
        <v>22708.439999999973</v>
      </c>
      <c r="O20" s="47">
        <f t="shared" si="3"/>
        <v>5992.939999999973</v>
      </c>
      <c r="P20" s="50">
        <f t="shared" si="5"/>
        <v>135.85259190571608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96282.4</v>
      </c>
      <c r="F21" s="169">
        <f>F22+F23+F24</f>
        <v>100774.79</v>
      </c>
      <c r="G21" s="43">
        <f t="shared" si="0"/>
        <v>4492.389999999999</v>
      </c>
      <c r="H21" s="35">
        <f t="shared" si="4"/>
        <v>104.6658475484616</v>
      </c>
      <c r="I21" s="50">
        <f t="shared" si="1"/>
        <v>-9525.210000000006</v>
      </c>
      <c r="J21" s="178">
        <f t="shared" si="6"/>
        <v>91.36427017225748</v>
      </c>
      <c r="K21" s="178">
        <f>K22+K23+K24</f>
        <v>32070.95</v>
      </c>
      <c r="L21" s="136"/>
      <c r="M21" s="35">
        <f>E21-вересень!E21</f>
        <v>10382</v>
      </c>
      <c r="N21" s="35">
        <f>F21-вересень!F21</f>
        <v>11795.470000000001</v>
      </c>
      <c r="O21" s="47">
        <f t="shared" si="3"/>
        <v>1413.4700000000012</v>
      </c>
      <c r="P21" s="50">
        <f t="shared" si="5"/>
        <v>113.61462146021961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10645.4</v>
      </c>
      <c r="F22" s="144">
        <v>12486.13</v>
      </c>
      <c r="G22" s="135">
        <f t="shared" si="0"/>
        <v>1840.7299999999996</v>
      </c>
      <c r="H22" s="137">
        <f t="shared" si="4"/>
        <v>117.2913183158923</v>
      </c>
      <c r="I22" s="136">
        <f t="shared" si="1"/>
        <v>1786.1299999999992</v>
      </c>
      <c r="J22" s="136">
        <f t="shared" si="6"/>
        <v>116.69280373831774</v>
      </c>
      <c r="K22" s="136">
        <f>F22-437</f>
        <v>12049.13</v>
      </c>
      <c r="L22" s="136">
        <f>F22/437*100</f>
        <v>2857.2379862700227</v>
      </c>
      <c r="M22" s="137">
        <f>E22-вересень!E22</f>
        <v>1851</v>
      </c>
      <c r="N22" s="137">
        <f>F22-вересень!F22</f>
        <v>3354.449999999999</v>
      </c>
      <c r="O22" s="138">
        <f t="shared" si="3"/>
        <v>1503.449999999999</v>
      </c>
      <c r="P22" s="136">
        <f t="shared" si="5"/>
        <v>181.22366288492702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2092</v>
      </c>
      <c r="F23" s="144">
        <v>3493.96</v>
      </c>
      <c r="G23" s="135">
        <f t="shared" si="0"/>
        <v>1401.96</v>
      </c>
      <c r="H23" s="137">
        <f t="shared" si="4"/>
        <v>167.0152963671128</v>
      </c>
      <c r="I23" s="136">
        <f t="shared" si="1"/>
        <v>1393.96</v>
      </c>
      <c r="J23" s="136">
        <f t="shared" si="6"/>
        <v>166.37904761904764</v>
      </c>
      <c r="K23" s="136">
        <f>F23-0</f>
        <v>3493.96</v>
      </c>
      <c r="L23" s="136"/>
      <c r="M23" s="137">
        <f>E23-вересень!E23</f>
        <v>305</v>
      </c>
      <c r="N23" s="137">
        <f>F23-вересень!F23</f>
        <v>160.32999999999993</v>
      </c>
      <c r="O23" s="138">
        <f t="shared" si="3"/>
        <v>-144.67000000000007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83545</v>
      </c>
      <c r="F24" s="144">
        <v>84794.7</v>
      </c>
      <c r="G24" s="135">
        <f t="shared" si="0"/>
        <v>1249.699999999997</v>
      </c>
      <c r="H24" s="137">
        <f t="shared" si="4"/>
        <v>101.495840564965</v>
      </c>
      <c r="I24" s="136">
        <f t="shared" si="1"/>
        <v>-12705.300000000003</v>
      </c>
      <c r="J24" s="136">
        <f t="shared" si="6"/>
        <v>86.96892307692308</v>
      </c>
      <c r="K24" s="224">
        <f>F24-68266.84</f>
        <v>16527.86</v>
      </c>
      <c r="L24" s="224">
        <f>F24/68266.84*100</f>
        <v>124.2106709494683</v>
      </c>
      <c r="M24" s="137">
        <f>E24-вересень!E24</f>
        <v>8226</v>
      </c>
      <c r="N24" s="137">
        <f>F24-вересень!F24</f>
        <v>8280.690000000002</v>
      </c>
      <c r="O24" s="138">
        <f t="shared" si="3"/>
        <v>54.69000000000233</v>
      </c>
      <c r="P24" s="136">
        <f t="shared" si="5"/>
        <v>100.66484318016049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51.5</v>
      </c>
      <c r="F25" s="168">
        <v>60.64</v>
      </c>
      <c r="G25" s="43">
        <f t="shared" si="0"/>
        <v>9.14</v>
      </c>
      <c r="H25" s="35">
        <f t="shared" si="4"/>
        <v>117.74757281553399</v>
      </c>
      <c r="I25" s="50">
        <f t="shared" si="1"/>
        <v>-9.36</v>
      </c>
      <c r="J25" s="178">
        <f t="shared" si="6"/>
        <v>86.62857142857143</v>
      </c>
      <c r="K25" s="178">
        <f>F25-48.79</f>
        <v>11.850000000000001</v>
      </c>
      <c r="L25" s="178">
        <f>F25/48.79*100</f>
        <v>124.28776388604223</v>
      </c>
      <c r="M25" s="35">
        <f>E25-вересень!E25</f>
        <v>10</v>
      </c>
      <c r="N25" s="35">
        <f>F25-вересень!F25</f>
        <v>4.789999999999999</v>
      </c>
      <c r="O25" s="47">
        <f t="shared" si="3"/>
        <v>-5.210000000000001</v>
      </c>
      <c r="P25" s="50">
        <f t="shared" si="5"/>
        <v>47.89999999999999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-740.94</v>
      </c>
      <c r="G26" s="43">
        <f t="shared" si="0"/>
        <v>-740.94</v>
      </c>
      <c r="H26" s="35"/>
      <c r="I26" s="50">
        <f t="shared" si="1"/>
        <v>-740.94</v>
      </c>
      <c r="J26" s="136"/>
      <c r="K26" s="178">
        <f>F26-5295.66</f>
        <v>-6036.6</v>
      </c>
      <c r="L26" s="178">
        <f>F26/5295.66*100</f>
        <v>-13.991457155482037</v>
      </c>
      <c r="M26" s="35">
        <f>E26-вересень!E26</f>
        <v>0</v>
      </c>
      <c r="N26" s="35">
        <f>F26-вересень!F26</f>
        <v>-34.960000000000036</v>
      </c>
      <c r="O26" s="47">
        <f t="shared" si="3"/>
        <v>-34.960000000000036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73860</v>
      </c>
      <c r="F27" s="168">
        <v>82720.54</v>
      </c>
      <c r="G27" s="43">
        <f t="shared" si="0"/>
        <v>8860.539999999994</v>
      </c>
      <c r="H27" s="35">
        <f t="shared" si="4"/>
        <v>111.99639859193067</v>
      </c>
      <c r="I27" s="50">
        <f t="shared" si="1"/>
        <v>3220.5399999999936</v>
      </c>
      <c r="J27" s="178">
        <f t="shared" si="6"/>
        <v>104.05099371069181</v>
      </c>
      <c r="K27" s="132">
        <f>F27-67857.28</f>
        <v>14863.259999999995</v>
      </c>
      <c r="L27" s="132">
        <f>F27/67857.28*100</f>
        <v>121.90370731040205</v>
      </c>
      <c r="M27" s="35">
        <f>E27-вересень!E27</f>
        <v>6323.5</v>
      </c>
      <c r="N27" s="35">
        <f>F27-вересень!F27</f>
        <v>10943.14</v>
      </c>
      <c r="O27" s="47">
        <f t="shared" si="3"/>
        <v>4619.639999999999</v>
      </c>
      <c r="P27" s="50">
        <f t="shared" si="5"/>
        <v>173.0551118842413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E28-вересень!E28</f>
        <v>0</v>
      </c>
      <c r="N28" s="137">
        <f>F28-вересень!F28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>
      <c r="A29" s="8"/>
      <c r="B29" s="69" t="s">
        <v>255</v>
      </c>
      <c r="C29" s="134">
        <v>18050300</v>
      </c>
      <c r="D29" s="135">
        <v>19200</v>
      </c>
      <c r="E29" s="135">
        <v>18080</v>
      </c>
      <c r="F29" s="144">
        <v>19963.33</v>
      </c>
      <c r="G29" s="135">
        <f t="shared" si="0"/>
        <v>1883.3300000000017</v>
      </c>
      <c r="H29" s="137">
        <f t="shared" si="4"/>
        <v>110.4166482300885</v>
      </c>
      <c r="I29" s="136">
        <f t="shared" si="1"/>
        <v>763.3300000000017</v>
      </c>
      <c r="J29" s="136">
        <f t="shared" si="6"/>
        <v>103.97567708333335</v>
      </c>
      <c r="K29" s="139">
        <f>F29-18415.97</f>
        <v>1547.3600000000006</v>
      </c>
      <c r="L29" s="139">
        <f>F29/18415.97*100</f>
        <v>108.4022725927551</v>
      </c>
      <c r="M29" s="137">
        <f>E29-вересень!E29</f>
        <v>1300</v>
      </c>
      <c r="N29" s="137">
        <f>F29-вересень!F29</f>
        <v>2223.5700000000033</v>
      </c>
      <c r="O29" s="138">
        <f t="shared" si="3"/>
        <v>923.5700000000033</v>
      </c>
      <c r="P29" s="136"/>
      <c r="Q29" s="139"/>
      <c r="R29" s="140"/>
    </row>
    <row r="30" spans="1:18" s="6" customFormat="1" ht="15.75">
      <c r="A30" s="8"/>
      <c r="B30" s="69" t="s">
        <v>256</v>
      </c>
      <c r="C30" s="134">
        <v>18050400</v>
      </c>
      <c r="D30" s="135">
        <v>60300</v>
      </c>
      <c r="E30" s="135">
        <v>55780</v>
      </c>
      <c r="F30" s="144">
        <v>62729.49</v>
      </c>
      <c r="G30" s="135">
        <f t="shared" si="0"/>
        <v>6949.489999999998</v>
      </c>
      <c r="H30" s="137">
        <f t="shared" si="4"/>
        <v>112.45874865543206</v>
      </c>
      <c r="I30" s="136">
        <f t="shared" si="1"/>
        <v>2429.489999999998</v>
      </c>
      <c r="J30" s="136">
        <f t="shared" si="6"/>
        <v>104.02900497512437</v>
      </c>
      <c r="K30" s="139">
        <f>F30-49440.11</f>
        <v>13289.379999999997</v>
      </c>
      <c r="L30" s="139">
        <f>F30/49440.11*100</f>
        <v>126.87975411057944</v>
      </c>
      <c r="M30" s="137">
        <f>E30-вересень!E30</f>
        <v>5023.5</v>
      </c>
      <c r="N30" s="137">
        <f>F30-вересень!F30</f>
        <v>8713.519999999997</v>
      </c>
      <c r="O30" s="138">
        <f t="shared" si="3"/>
        <v>3690.019999999997</v>
      </c>
      <c r="P30" s="136"/>
      <c r="Q30" s="139"/>
      <c r="R30" s="140"/>
    </row>
    <row r="31" spans="1:18" s="6" customFormat="1" ht="15.75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28.89</v>
      </c>
      <c r="G31" s="135">
        <f t="shared" si="0"/>
        <v>28.89</v>
      </c>
      <c r="H31" s="137"/>
      <c r="I31" s="136">
        <f t="shared" si="1"/>
        <v>28.89</v>
      </c>
      <c r="J31" s="136"/>
      <c r="K31" s="139">
        <f>F31-0</f>
        <v>28.89</v>
      </c>
      <c r="L31" s="139"/>
      <c r="M31" s="137">
        <f>E31-вересень!E31</f>
        <v>0</v>
      </c>
      <c r="N31" s="137">
        <f>F31-вересень!F31</f>
        <v>6.050000000000001</v>
      </c>
      <c r="O31" s="138">
        <f t="shared" si="3"/>
        <v>6.050000000000001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5759.3</v>
      </c>
      <c r="F32" s="168">
        <v>5585.75</v>
      </c>
      <c r="G32" s="43">
        <f t="shared" si="0"/>
        <v>-173.55000000000018</v>
      </c>
      <c r="H32" s="35">
        <f t="shared" si="4"/>
        <v>96.98661295643566</v>
      </c>
      <c r="I32" s="50">
        <f t="shared" si="1"/>
        <v>-1914.25</v>
      </c>
      <c r="J32" s="178">
        <f t="shared" si="6"/>
        <v>74.47666666666667</v>
      </c>
      <c r="K32" s="178">
        <f>F32-7378.96</f>
        <v>-1793.21</v>
      </c>
      <c r="L32" s="178">
        <f>F32/7378.96*100</f>
        <v>75.6983368930039</v>
      </c>
      <c r="M32" s="35">
        <f>E32-вересень!E32</f>
        <v>6.900000000000546</v>
      </c>
      <c r="N32" s="35">
        <f>F32-вересень!F32</f>
        <v>6.569999999999709</v>
      </c>
      <c r="O32" s="47">
        <f t="shared" si="3"/>
        <v>-0.33000000000083674</v>
      </c>
      <c r="P32" s="50">
        <f t="shared" si="5"/>
        <v>95.21739130433608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32550.27</v>
      </c>
      <c r="F33" s="18">
        <f>F34+F35+F36+F37+F38+F41+F42+F47+F48+F52+F40+F39</f>
        <v>35081.67999999999</v>
      </c>
      <c r="G33" s="44">
        <f t="shared" si="0"/>
        <v>2531.4099999999926</v>
      </c>
      <c r="H33" s="45">
        <f aca="true" t="shared" si="7" ref="H33:H38">F33/E33*100</f>
        <v>107.77692473825869</v>
      </c>
      <c r="I33" s="31">
        <f t="shared" si="1"/>
        <v>-557.8900000000067</v>
      </c>
      <c r="J33" s="31">
        <f t="shared" si="6"/>
        <v>98.43463319001883</v>
      </c>
      <c r="K33" s="18">
        <f>K34+K35+K36+K37+K38+K41+K42+K47+K48+K52+K40</f>
        <v>24297.510000000002</v>
      </c>
      <c r="L33" s="18"/>
      <c r="M33" s="18">
        <f>M34+M35+M36+M37+M38+M41+M42+M47+M48+M52+M40+M39</f>
        <v>5900.27</v>
      </c>
      <c r="N33" s="18">
        <f>N34+N35+N36+N37+N38+N41+N42+N47+N48+N52+N40+N39</f>
        <v>6837.05</v>
      </c>
      <c r="O33" s="49">
        <f t="shared" si="3"/>
        <v>936.7799999999997</v>
      </c>
      <c r="P33" s="31">
        <f>N33/M33*100</f>
        <v>115.87690054861896</v>
      </c>
      <c r="Q33" s="31">
        <f>N33-1017.63</f>
        <v>5819.42</v>
      </c>
      <c r="R33" s="127">
        <f>N33/1017.63</f>
        <v>6.718601063254818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-57.79</v>
      </c>
      <c r="G34" s="43">
        <f t="shared" si="0"/>
        <v>-157.79</v>
      </c>
      <c r="H34" s="35">
        <f t="shared" si="7"/>
        <v>-57.79</v>
      </c>
      <c r="I34" s="50">
        <f t="shared" si="1"/>
        <v>-157.79</v>
      </c>
      <c r="J34" s="50">
        <f t="shared" si="6"/>
        <v>-57.79</v>
      </c>
      <c r="K34" s="50">
        <f>F34-123.45</f>
        <v>-181.24</v>
      </c>
      <c r="L34" s="50">
        <f>F34/123.45*100</f>
        <v>-46.812474686107734</v>
      </c>
      <c r="M34" s="35">
        <f>E34-вересень!E34</f>
        <v>0</v>
      </c>
      <c r="N34" s="35">
        <f>F34-вересень!F34</f>
        <v>2.5700000000000003</v>
      </c>
      <c r="O34" s="47">
        <f t="shared" si="3"/>
        <v>2.5700000000000003</v>
      </c>
      <c r="P34" s="50" t="e">
        <f>N34/M34*100</f>
        <v>#DIV/0!</v>
      </c>
      <c r="Q34" s="50">
        <f>N34-0</f>
        <v>2.5700000000000003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v>7632.47</v>
      </c>
      <c r="F35" s="143">
        <v>8434.93</v>
      </c>
      <c r="G35" s="43">
        <f t="shared" si="0"/>
        <v>802.46</v>
      </c>
      <c r="H35" s="35">
        <f t="shared" si="7"/>
        <v>110.51376553068665</v>
      </c>
      <c r="I35" s="50">
        <f t="shared" si="1"/>
        <v>502.46000000000004</v>
      </c>
      <c r="J35" s="50"/>
      <c r="K35" s="50">
        <f>F35-0</f>
        <v>8434.93</v>
      </c>
      <c r="L35" s="50" t="e">
        <f>F35/0*100</f>
        <v>#DIV/0!</v>
      </c>
      <c r="M35" s="35">
        <f>E35-вересень!E35</f>
        <v>3482.4700000000003</v>
      </c>
      <c r="N35" s="35">
        <f>F35-вересень!F35</f>
        <v>4280.92</v>
      </c>
      <c r="O35" s="47">
        <f t="shared" si="3"/>
        <v>798.4499999999998</v>
      </c>
      <c r="P35" s="50"/>
      <c r="Q35" s="50">
        <f>N35-0</f>
        <v>4280.92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349.81</v>
      </c>
      <c r="G36" s="43">
        <f t="shared" si="0"/>
        <v>109.81</v>
      </c>
      <c r="H36" s="35">
        <f t="shared" si="7"/>
        <v>145.75416666666666</v>
      </c>
      <c r="I36" s="50">
        <f t="shared" si="1"/>
        <v>109.81</v>
      </c>
      <c r="J36" s="50"/>
      <c r="K36" s="50">
        <f>F36-279.6</f>
        <v>70.20999999999998</v>
      </c>
      <c r="L36" s="50">
        <f>F36/279.6*100</f>
        <v>125.11087267525033</v>
      </c>
      <c r="M36" s="35">
        <f>E36-вересень!E36</f>
        <v>0</v>
      </c>
      <c r="N36" s="35">
        <f>F36-вересень!F36</f>
        <v>27.829999999999984</v>
      </c>
      <c r="O36" s="47">
        <f t="shared" si="3"/>
        <v>27.829999999999984</v>
      </c>
      <c r="P36" s="50"/>
      <c r="Q36" s="50">
        <f>N36-4.23</f>
        <v>23.599999999999984</v>
      </c>
      <c r="R36" s="126">
        <f>N36/4.23</f>
        <v>6.5791962174940855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4.5</v>
      </c>
      <c r="F37" s="143">
        <v>0</v>
      </c>
      <c r="G37" s="43">
        <f t="shared" si="0"/>
        <v>-4.5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E37-вересень!E37</f>
        <v>0.5</v>
      </c>
      <c r="N37" s="35">
        <f>F37-вересень!F37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120</v>
      </c>
      <c r="F38" s="143">
        <v>255.87</v>
      </c>
      <c r="G38" s="43">
        <f t="shared" si="0"/>
        <v>135.87</v>
      </c>
      <c r="H38" s="35">
        <f t="shared" si="7"/>
        <v>213.225</v>
      </c>
      <c r="I38" s="50">
        <f t="shared" si="1"/>
        <v>115.87</v>
      </c>
      <c r="J38" s="50">
        <f t="shared" si="6"/>
        <v>182.7642857142857</v>
      </c>
      <c r="K38" s="50">
        <f>F38-112.45</f>
        <v>143.42000000000002</v>
      </c>
      <c r="L38" s="50">
        <f>F38/112.45*100</f>
        <v>227.54112939084038</v>
      </c>
      <c r="M38" s="35">
        <f>E38-вересень!E38</f>
        <v>15</v>
      </c>
      <c r="N38" s="35">
        <f>F38-вересень!F38</f>
        <v>138.76</v>
      </c>
      <c r="O38" s="47">
        <f t="shared" si="3"/>
        <v>123.75999999999999</v>
      </c>
      <c r="P38" s="50">
        <f>N38/M38*100</f>
        <v>925.0666666666666</v>
      </c>
      <c r="Q38" s="50">
        <f>N38-9.02</f>
        <v>129.73999999999998</v>
      </c>
      <c r="R38" s="126">
        <f>N38/9.02</f>
        <v>15.383592017738358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0</v>
      </c>
      <c r="G39" s="43">
        <f t="shared" si="0"/>
        <v>0</v>
      </c>
      <c r="H39" s="35"/>
      <c r="I39" s="50">
        <f>F39-D39</f>
        <v>0</v>
      </c>
      <c r="J39" s="50"/>
      <c r="K39" s="50">
        <f>F39-0</f>
        <v>0</v>
      </c>
      <c r="L39" s="50"/>
      <c r="M39" s="35">
        <f>E39-вересень!E39</f>
        <v>0</v>
      </c>
      <c r="N39" s="35">
        <f>F39-вересень!F39</f>
        <v>-4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8837</v>
      </c>
      <c r="F40" s="143">
        <v>8383.7</v>
      </c>
      <c r="G40" s="43">
        <f t="shared" si="0"/>
        <v>-453.2999999999993</v>
      </c>
      <c r="H40" s="35">
        <f aca="true" t="shared" si="8" ref="H40:H46">F40/E40*100</f>
        <v>94.8704311417902</v>
      </c>
      <c r="I40" s="50">
        <f t="shared" si="1"/>
        <v>-616.2999999999993</v>
      </c>
      <c r="J40" s="50"/>
      <c r="K40" s="50">
        <f>F40-0</f>
        <v>8383.7</v>
      </c>
      <c r="L40" s="50"/>
      <c r="M40" s="35">
        <f>E40-вересень!E40</f>
        <v>900</v>
      </c>
      <c r="N40" s="35">
        <f>F40-вересень!F40</f>
        <v>778.2400000000007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5770</v>
      </c>
      <c r="F41" s="143">
        <v>7492.82</v>
      </c>
      <c r="G41" s="43">
        <f t="shared" si="0"/>
        <v>1722.8199999999997</v>
      </c>
      <c r="H41" s="35">
        <f t="shared" si="8"/>
        <v>129.8582322357019</v>
      </c>
      <c r="I41" s="50">
        <f t="shared" si="1"/>
        <v>592.8199999999997</v>
      </c>
      <c r="J41" s="50">
        <f t="shared" si="6"/>
        <v>108.59159420289855</v>
      </c>
      <c r="K41" s="50">
        <f>F41-5937.15</f>
        <v>1555.67</v>
      </c>
      <c r="L41" s="50">
        <f>F41/5937.15*100</f>
        <v>126.20230245151294</v>
      </c>
      <c r="M41" s="35">
        <f>E41-вересень!E41</f>
        <v>550</v>
      </c>
      <c r="N41" s="35">
        <f>F41-вересень!F41</f>
        <v>707.7299999999996</v>
      </c>
      <c r="O41" s="47">
        <f t="shared" si="3"/>
        <v>157.72999999999956</v>
      </c>
      <c r="P41" s="50">
        <f>N41/M41*100</f>
        <v>128.67818181818174</v>
      </c>
      <c r="Q41" s="50">
        <f>N41-647.49</f>
        <v>60.239999999999554</v>
      </c>
      <c r="R41" s="126">
        <f>N41/647.49</f>
        <v>1.09303618588704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6391.3</v>
      </c>
      <c r="F42" s="143">
        <v>6187.55</v>
      </c>
      <c r="G42" s="43">
        <f t="shared" si="0"/>
        <v>-203.75</v>
      </c>
      <c r="H42" s="35">
        <f t="shared" si="8"/>
        <v>96.81207266127392</v>
      </c>
      <c r="I42" s="50">
        <f t="shared" si="1"/>
        <v>-912.4499999999998</v>
      </c>
      <c r="J42" s="50">
        <f t="shared" si="6"/>
        <v>87.14859154929577</v>
      </c>
      <c r="K42" s="50">
        <f>F42-865.17</f>
        <v>5322.38</v>
      </c>
      <c r="L42" s="50">
        <f>F42/865.17*100</f>
        <v>715.1831431972907</v>
      </c>
      <c r="M42" s="35">
        <f>E42-вересень!E42</f>
        <v>592.3000000000002</v>
      </c>
      <c r="N42" s="35">
        <f>F42-вересень!F42</f>
        <v>465.60000000000036</v>
      </c>
      <c r="O42" s="47">
        <f t="shared" si="3"/>
        <v>-126.69999999999982</v>
      </c>
      <c r="P42" s="50">
        <f>N42/M42*100</f>
        <v>78.60881310146888</v>
      </c>
      <c r="Q42" s="50">
        <f>N42-79.51</f>
        <v>386.0900000000004</v>
      </c>
      <c r="R42" s="126">
        <f>N42/79.51</f>
        <v>5.855867186517424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910</v>
      </c>
      <c r="F43" s="144">
        <v>883.77</v>
      </c>
      <c r="G43" s="135">
        <f t="shared" si="0"/>
        <v>-26.230000000000018</v>
      </c>
      <c r="H43" s="35">
        <f t="shared" si="8"/>
        <v>97.11758241758241</v>
      </c>
      <c r="I43" s="136">
        <f t="shared" si="1"/>
        <v>-216.23000000000002</v>
      </c>
      <c r="J43" s="136">
        <f t="shared" si="6"/>
        <v>80.34272727272726</v>
      </c>
      <c r="K43" s="136">
        <f>F43-757.36</f>
        <v>126.40999999999997</v>
      </c>
      <c r="L43" s="136">
        <f>F43/757.36*100</f>
        <v>116.69087356079011</v>
      </c>
      <c r="M43" s="137">
        <f>E43-вересень!E43</f>
        <v>70</v>
      </c>
      <c r="N43" s="137">
        <f>F43-вересень!F43</f>
        <v>81.92999999999995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70</v>
      </c>
      <c r="F44" s="144">
        <v>44.11</v>
      </c>
      <c r="G44" s="135">
        <f t="shared" si="0"/>
        <v>-25.89</v>
      </c>
      <c r="H44" s="35">
        <f t="shared" si="8"/>
        <v>63.01428571428571</v>
      </c>
      <c r="I44" s="136">
        <f t="shared" si="1"/>
        <v>-35.89</v>
      </c>
      <c r="J44" s="136"/>
      <c r="K44" s="136">
        <f>F44-0</f>
        <v>44.11</v>
      </c>
      <c r="L44" s="136"/>
      <c r="M44" s="137">
        <f>E44-вересень!E44</f>
        <v>10</v>
      </c>
      <c r="N44" s="137">
        <f>F44-вересень!F44</f>
        <v>0.03999999999999915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1.3</v>
      </c>
      <c r="F45" s="144">
        <v>0.75</v>
      </c>
      <c r="G45" s="135">
        <f t="shared" si="0"/>
        <v>-0.55</v>
      </c>
      <c r="H45" s="35">
        <f t="shared" si="8"/>
        <v>57.692307692307686</v>
      </c>
      <c r="I45" s="136">
        <f t="shared" si="1"/>
        <v>-1.25</v>
      </c>
      <c r="J45" s="136"/>
      <c r="K45" s="136">
        <f>F45-0</f>
        <v>0.75</v>
      </c>
      <c r="L45" s="136"/>
      <c r="M45" s="137">
        <f>E45-вересень!E45</f>
        <v>0.30000000000000004</v>
      </c>
      <c r="N45" s="137">
        <f>F45-вересень!F45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5410</v>
      </c>
      <c r="F46" s="144">
        <v>5258.92</v>
      </c>
      <c r="G46" s="135">
        <f t="shared" si="0"/>
        <v>-151.07999999999993</v>
      </c>
      <c r="H46" s="35">
        <f t="shared" si="8"/>
        <v>97.20739371534196</v>
      </c>
      <c r="I46" s="136">
        <f t="shared" si="1"/>
        <v>-659.0799999999999</v>
      </c>
      <c r="J46" s="136">
        <f t="shared" si="6"/>
        <v>88.86312943562015</v>
      </c>
      <c r="K46" s="136">
        <f>F46-107.81</f>
        <v>5151.11</v>
      </c>
      <c r="L46" s="136">
        <f>F46/107.81*100</f>
        <v>4877.951952509044</v>
      </c>
      <c r="M46" s="137">
        <f>E46-вересень!E46</f>
        <v>512</v>
      </c>
      <c r="N46" s="137">
        <f>F46-вересень!F46</f>
        <v>383.6300000000001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E47-вересень!E47</f>
        <v>0</v>
      </c>
      <c r="N47" s="35">
        <f>F47-вересень!F47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3450</v>
      </c>
      <c r="F48" s="143">
        <v>4010.85</v>
      </c>
      <c r="G48" s="43">
        <f t="shared" si="0"/>
        <v>560.8499999999999</v>
      </c>
      <c r="H48" s="35">
        <f>F48/E48*100</f>
        <v>116.25652173913043</v>
      </c>
      <c r="I48" s="50">
        <f t="shared" si="1"/>
        <v>-189.1500000000001</v>
      </c>
      <c r="J48" s="50">
        <f>F48/D48*100</f>
        <v>95.49642857142857</v>
      </c>
      <c r="K48" s="50">
        <f>F48-3446.94</f>
        <v>563.9099999999999</v>
      </c>
      <c r="L48" s="50">
        <f>F48/3446.94*100</f>
        <v>116.35972775853365</v>
      </c>
      <c r="M48" s="35">
        <f>E48-вересень!E48</f>
        <v>360</v>
      </c>
      <c r="N48" s="35">
        <f>F48-вересень!F48</f>
        <v>439.4000000000001</v>
      </c>
      <c r="O48" s="47">
        <f t="shared" si="3"/>
        <v>79.40000000000009</v>
      </c>
      <c r="P48" s="50">
        <f aca="true" t="shared" si="9" ref="P48:P53">N48/M48*100</f>
        <v>122.05555555555559</v>
      </c>
      <c r="Q48" s="50">
        <f>N48-277.38</f>
        <v>162.0200000000001</v>
      </c>
      <c r="R48" s="126">
        <f>N48/277.38</f>
        <v>1.5841084432907928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E49-вересень!E49</f>
        <v>0</v>
      </c>
      <c r="N49" s="35">
        <f>F49-вересень!F49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E50-вересень!E50</f>
        <v>0</v>
      </c>
      <c r="N50" s="35">
        <f>F50-вересень!F50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1044.3</v>
      </c>
      <c r="G51" s="135">
        <f t="shared" si="0"/>
        <v>1044.3</v>
      </c>
      <c r="H51" s="137"/>
      <c r="I51" s="136">
        <f t="shared" si="1"/>
        <v>1044.3</v>
      </c>
      <c r="J51" s="136"/>
      <c r="K51" s="138">
        <f>F51-838.39</f>
        <v>205.90999999999997</v>
      </c>
      <c r="L51" s="138">
        <f>F51/838.39*100</f>
        <v>124.56016889514426</v>
      </c>
      <c r="M51" s="35">
        <f>E51-вересень!E51</f>
        <v>0</v>
      </c>
      <c r="N51" s="35">
        <f>F51-вересень!F51</f>
        <v>65.09999999999991</v>
      </c>
      <c r="O51" s="138">
        <f t="shared" si="3"/>
        <v>65.09999999999991</v>
      </c>
      <c r="P51" s="136"/>
      <c r="Q51" s="50">
        <f>N51-64.93</f>
        <v>0.16999999999990223</v>
      </c>
      <c r="R51" s="126">
        <f>N51/64.93</f>
        <v>1.0026182042199276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E52-вересень!E52</f>
        <v>0</v>
      </c>
      <c r="N52" s="35">
        <f>F52-вересень!F52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21.6</v>
      </c>
      <c r="F53" s="143">
        <v>20.92</v>
      </c>
      <c r="G53" s="43">
        <f t="shared" si="0"/>
        <v>-0.6799999999999997</v>
      </c>
      <c r="H53" s="35">
        <f>F53/E53*100</f>
        <v>96.85185185185186</v>
      </c>
      <c r="I53" s="50">
        <f t="shared" si="1"/>
        <v>-5.579999999999998</v>
      </c>
      <c r="J53" s="50">
        <f>F53/D53*100</f>
        <v>78.9433962264151</v>
      </c>
      <c r="K53" s="50">
        <f>F53-21.71</f>
        <v>-0.7899999999999991</v>
      </c>
      <c r="L53" s="50">
        <f>F53/21.71*100</f>
        <v>96.36112390603408</v>
      </c>
      <c r="M53" s="35">
        <f>E53-вересень!E53</f>
        <v>2.200000000000003</v>
      </c>
      <c r="N53" s="35">
        <f>F53-вересень!F53</f>
        <v>6.500000000000002</v>
      </c>
      <c r="O53" s="47">
        <f t="shared" si="3"/>
        <v>4.299999999999999</v>
      </c>
      <c r="P53" s="50">
        <f t="shared" si="9"/>
        <v>295.45454545454515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E54-вересень!E54</f>
        <v>0</v>
      </c>
      <c r="N54" s="35">
        <f>F54-вересень!F54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536097.34</v>
      </c>
      <c r="F55" s="18">
        <f>F8+F33+F53+F54</f>
        <v>577689.14</v>
      </c>
      <c r="G55" s="44">
        <f>F55-E55</f>
        <v>41591.80000000005</v>
      </c>
      <c r="H55" s="45">
        <f>F55/E55*100</f>
        <v>107.75825524521349</v>
      </c>
      <c r="I55" s="31">
        <f>F55-D55</f>
        <v>-30265.929999999935</v>
      </c>
      <c r="J55" s="31">
        <f>F55/D55*100</f>
        <v>95.02168309904876</v>
      </c>
      <c r="K55" s="31">
        <f>K8+K33+K53+K54</f>
        <v>165658.048</v>
      </c>
      <c r="L55" s="31">
        <f>F55/(F55-K55)*100</f>
        <v>140.20522994900588</v>
      </c>
      <c r="M55" s="18">
        <f>M8+M33+M53+M54</f>
        <v>50675.44</v>
      </c>
      <c r="N55" s="18">
        <f>N8+N33+N53+N54</f>
        <v>68550.53000000001</v>
      </c>
      <c r="O55" s="49">
        <f>N55-M55</f>
        <v>17875.09000000001</v>
      </c>
      <c r="P55" s="31">
        <f>N55/M55*100</f>
        <v>135.27367497943777</v>
      </c>
      <c r="Q55" s="31">
        <f>N55-34768</f>
        <v>33782.53000000001</v>
      </c>
      <c r="R55" s="171">
        <f>N55/34768</f>
        <v>1.9716558329498393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F60-вересень!F60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-54.75</v>
      </c>
      <c r="G61" s="43">
        <f aca="true" t="shared" si="10" ref="G61:G68">F61-E61</f>
        <v>-54.75</v>
      </c>
      <c r="H61" s="35"/>
      <c r="I61" s="53">
        <f aca="true" t="shared" si="11" ref="I61:I68">F61-D61</f>
        <v>-54.75</v>
      </c>
      <c r="J61" s="53"/>
      <c r="K61" s="47">
        <f>F61-263.25</f>
        <v>-318</v>
      </c>
      <c r="L61" s="53"/>
      <c r="M61" s="35">
        <v>0</v>
      </c>
      <c r="N61" s="36">
        <f>F61-вересень!F61</f>
        <v>-3.049999999999997</v>
      </c>
      <c r="O61" s="47">
        <f aca="true" t="shared" si="12" ref="O61:O68">N61-M61</f>
        <v>-3.049999999999997</v>
      </c>
      <c r="P61" s="53"/>
      <c r="Q61" s="53">
        <f>N61-24.53</f>
        <v>-27.58</v>
      </c>
      <c r="R61" s="129">
        <f>N61/24.53</f>
        <v>-0.12433754586220942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-54.75</v>
      </c>
      <c r="G62" s="55">
        <f t="shared" si="10"/>
        <v>-54.75</v>
      </c>
      <c r="H62" s="65"/>
      <c r="I62" s="54">
        <f t="shared" si="11"/>
        <v>-54.75</v>
      </c>
      <c r="J62" s="54"/>
      <c r="K62" s="54">
        <f>K60+K61</f>
        <v>-318</v>
      </c>
      <c r="L62" s="54"/>
      <c r="M62" s="55">
        <f>M61</f>
        <v>0</v>
      </c>
      <c r="N62" s="33">
        <f>SUM(N60:N61)</f>
        <v>-3.049999999999997</v>
      </c>
      <c r="O62" s="54">
        <f t="shared" si="12"/>
        <v>-3.049999999999997</v>
      </c>
      <c r="P62" s="54"/>
      <c r="Q62" s="54">
        <f>N62-92.85</f>
        <v>-95.89999999999999</v>
      </c>
      <c r="R62" s="130">
        <f>N62/92.85</f>
        <v>-0.03284868066774364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593.13</v>
      </c>
      <c r="G64" s="43">
        <f t="shared" si="10"/>
        <v>-1006.87</v>
      </c>
      <c r="H64" s="35"/>
      <c r="I64" s="53">
        <f t="shared" si="11"/>
        <v>-1906.87</v>
      </c>
      <c r="J64" s="53">
        <f t="shared" si="13"/>
        <v>23.725199999999997</v>
      </c>
      <c r="K64" s="53">
        <f>F64-1754.79</f>
        <v>-1161.6599999999999</v>
      </c>
      <c r="L64" s="53">
        <f>F64/1754.79*100</f>
        <v>33.80062571589763</v>
      </c>
      <c r="M64" s="35">
        <f>E64-вересень!E64</f>
        <v>0</v>
      </c>
      <c r="N64" s="35">
        <f>F64-вересень!F64</f>
        <v>0.029999999999972715</v>
      </c>
      <c r="O64" s="47">
        <f t="shared" si="12"/>
        <v>0.029999999999972715</v>
      </c>
      <c r="P64" s="53"/>
      <c r="Q64" s="53">
        <f>N64-0.04</f>
        <v>-0.010000000000027286</v>
      </c>
      <c r="R64" s="129">
        <f>N64/0.04</f>
        <v>0.7499999999993179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6735.98</v>
      </c>
      <c r="F65" s="146">
        <v>7212.08</v>
      </c>
      <c r="G65" s="43">
        <f t="shared" si="10"/>
        <v>476.10000000000036</v>
      </c>
      <c r="H65" s="35">
        <f>F65/E65*100</f>
        <v>107.06801385989864</v>
      </c>
      <c r="I65" s="53">
        <f t="shared" si="11"/>
        <v>-4363.92</v>
      </c>
      <c r="J65" s="53">
        <f t="shared" si="13"/>
        <v>62.302004146510015</v>
      </c>
      <c r="K65" s="53">
        <f>F65-2762.1</f>
        <v>4449.98</v>
      </c>
      <c r="L65" s="53">
        <f>F65/2762.1*100</f>
        <v>261.10857680750155</v>
      </c>
      <c r="M65" s="35">
        <f>E65-вересень!E65</f>
        <v>1273.8199999999997</v>
      </c>
      <c r="N65" s="35">
        <f>F65-вересень!F65</f>
        <v>3224.45</v>
      </c>
      <c r="O65" s="47">
        <f t="shared" si="12"/>
        <v>1950.63</v>
      </c>
      <c r="P65" s="53">
        <f>N65/M65*100</f>
        <v>253.1323106875383</v>
      </c>
      <c r="Q65" s="53">
        <f>N65-450.01</f>
        <v>2774.4399999999996</v>
      </c>
      <c r="R65" s="129">
        <f>N65/450.01</f>
        <v>7.165285215884091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1332.9</v>
      </c>
      <c r="F66" s="146">
        <v>2063.43</v>
      </c>
      <c r="G66" s="43">
        <f t="shared" si="10"/>
        <v>730.5299999999997</v>
      </c>
      <c r="H66" s="35">
        <f>F66/E66*100</f>
        <v>154.80756245779875</v>
      </c>
      <c r="I66" s="53">
        <f t="shared" si="11"/>
        <v>-936.5700000000002</v>
      </c>
      <c r="J66" s="53">
        <f t="shared" si="13"/>
        <v>68.78099999999999</v>
      </c>
      <c r="K66" s="53">
        <f>F66-1134.02</f>
        <v>929.4099999999999</v>
      </c>
      <c r="L66" s="53">
        <f>F66/1134.02*100</f>
        <v>181.9571083402409</v>
      </c>
      <c r="M66" s="35">
        <f>E66-вересень!E66</f>
        <v>148.10000000000014</v>
      </c>
      <c r="N66" s="35">
        <f>F66-вересень!F66</f>
        <v>204.3499999999999</v>
      </c>
      <c r="O66" s="47">
        <f t="shared" si="12"/>
        <v>56.24999999999977</v>
      </c>
      <c r="P66" s="53">
        <f>N66/M66*100</f>
        <v>137.98109385550285</v>
      </c>
      <c r="Q66" s="53">
        <f>N66-1.05</f>
        <v>203.2999999999999</v>
      </c>
      <c r="R66" s="129">
        <f>N66/1.05</f>
        <v>194.61904761904754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9668.88</v>
      </c>
      <c r="F67" s="145">
        <f>F64+F65+F66</f>
        <v>9868.64</v>
      </c>
      <c r="G67" s="55">
        <f t="shared" si="10"/>
        <v>199.76000000000022</v>
      </c>
      <c r="H67" s="65">
        <f>F67/E67*100</f>
        <v>102.06600971363797</v>
      </c>
      <c r="I67" s="54">
        <f t="shared" si="11"/>
        <v>-7207.360000000001</v>
      </c>
      <c r="J67" s="54">
        <f t="shared" si="13"/>
        <v>57.79245724994143</v>
      </c>
      <c r="K67" s="54">
        <f>K64+K65+K66</f>
        <v>4217.73</v>
      </c>
      <c r="L67" s="54"/>
      <c r="M67" s="55">
        <f>M64+M65+M66</f>
        <v>1421.9199999999998</v>
      </c>
      <c r="N67" s="55">
        <f>N64+N65+N66</f>
        <v>3428.8299999999995</v>
      </c>
      <c r="O67" s="54">
        <f t="shared" si="12"/>
        <v>2006.9099999999996</v>
      </c>
      <c r="P67" s="54">
        <f>N67/M67*100</f>
        <v>241.14085180600875</v>
      </c>
      <c r="Q67" s="54">
        <f>N67-7985.28</f>
        <v>-4556.450000000001</v>
      </c>
      <c r="R67" s="173">
        <f>N67/7985.28</f>
        <v>0.4293938346557666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 t="shared" si="10"/>
        <v>-34.65</v>
      </c>
      <c r="H68" s="35">
        <f>F68/E68*100</f>
        <v>1</v>
      </c>
      <c r="I68" s="53">
        <f t="shared" si="11"/>
        <v>-34.65</v>
      </c>
      <c r="J68" s="53">
        <f t="shared" si="13"/>
        <v>1</v>
      </c>
      <c r="K68" s="53">
        <f>F68-35.01</f>
        <v>-34.66</v>
      </c>
      <c r="L68" s="53">
        <f>F68/35.01*100</f>
        <v>0.9997143673236218</v>
      </c>
      <c r="M68" s="35">
        <f>E68-вересень!E68</f>
        <v>10</v>
      </c>
      <c r="N68" s="35">
        <f>F68-вересень!F68</f>
        <v>0</v>
      </c>
      <c r="O68" s="47">
        <f t="shared" si="12"/>
        <v>-10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E69-вересень!E69</f>
        <v>2</v>
      </c>
      <c r="N69" s="35">
        <f>F69-вересень!F69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1.14</v>
      </c>
      <c r="G70" s="43">
        <f>F70-E70</f>
        <v>1.14</v>
      </c>
      <c r="H70" s="35"/>
      <c r="I70" s="53">
        <f>F70-D70</f>
        <v>1.14</v>
      </c>
      <c r="J70" s="53"/>
      <c r="K70" s="53">
        <f>F70-1.29</f>
        <v>-0.15000000000000013</v>
      </c>
      <c r="L70" s="53">
        <f>F70/1.29*100</f>
        <v>88.3720930232558</v>
      </c>
      <c r="M70" s="35">
        <f>E70-вересень!E70</f>
        <v>0</v>
      </c>
      <c r="N70" s="35">
        <f>F70-вересень!F70</f>
        <v>0.1399999999999999</v>
      </c>
      <c r="O70" s="47">
        <f>N70-M70</f>
        <v>0.1399999999999999</v>
      </c>
      <c r="P70" s="53"/>
      <c r="Q70" s="53">
        <f>N70-(-0.21)</f>
        <v>0.34999999999999987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1.4899999999999998</v>
      </c>
      <c r="G71" s="55">
        <f>F71-E71</f>
        <v>-47.51</v>
      </c>
      <c r="H71" s="65">
        <f>F71/E71*100</f>
        <v>3.040816326530612</v>
      </c>
      <c r="I71" s="54">
        <f>F71-D71</f>
        <v>-52.51</v>
      </c>
      <c r="J71" s="54">
        <f>F71/D71*100</f>
        <v>2.759259259259259</v>
      </c>
      <c r="K71" s="54">
        <f>K68+K69+K70</f>
        <v>-54.29</v>
      </c>
      <c r="L71" s="54"/>
      <c r="M71" s="55">
        <f>M68+M70+M69</f>
        <v>12</v>
      </c>
      <c r="N71" s="55">
        <f>N68+N70+N69</f>
        <v>0.1399999999999999</v>
      </c>
      <c r="O71" s="54">
        <f>N71-M71</f>
        <v>-11.86</v>
      </c>
      <c r="P71" s="54"/>
      <c r="Q71" s="54">
        <f>N71-26.38</f>
        <v>-26.24</v>
      </c>
      <c r="R71" s="128">
        <f>N71/26.38</f>
        <v>0.005307050796057616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33.42</v>
      </c>
      <c r="F72" s="146">
        <v>30.02</v>
      </c>
      <c r="G72" s="43">
        <f>F72-E72</f>
        <v>-3.400000000000002</v>
      </c>
      <c r="H72" s="35">
        <f>F72/E72*100</f>
        <v>89.82645122681029</v>
      </c>
      <c r="I72" s="53">
        <f>F72-D72</f>
        <v>-11.98</v>
      </c>
      <c r="J72" s="53">
        <f>F72/D72*100</f>
        <v>71.47619047619047</v>
      </c>
      <c r="K72" s="53">
        <f>F72-33.03</f>
        <v>-3.0100000000000016</v>
      </c>
      <c r="L72" s="53">
        <f>F72/33.03*100</f>
        <v>90.88707235846199</v>
      </c>
      <c r="M72" s="35">
        <f>E72-вересень!E72</f>
        <v>1.2000000000000028</v>
      </c>
      <c r="N72" s="35">
        <f>F72-вересень!F72</f>
        <v>0.8000000000000007</v>
      </c>
      <c r="O72" s="47">
        <f>N72-M72</f>
        <v>-0.40000000000000213</v>
      </c>
      <c r="P72" s="53">
        <f>N72/M72*100</f>
        <v>66.66666666666656</v>
      </c>
      <c r="Q72" s="53">
        <f>N72-0.45</f>
        <v>0.3500000000000007</v>
      </c>
      <c r="R72" s="129">
        <f>N72/0.45</f>
        <v>1.7777777777777792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9751.3</v>
      </c>
      <c r="F74" s="27">
        <f>F62+F72+F67+F71+F73</f>
        <v>9845.6</v>
      </c>
      <c r="G74" s="44">
        <f>F74-E74</f>
        <v>94.30000000000109</v>
      </c>
      <c r="H74" s="45">
        <f>F74/E74*100</f>
        <v>100.96705054710655</v>
      </c>
      <c r="I74" s="31">
        <f>F74-D74</f>
        <v>-7326.4</v>
      </c>
      <c r="J74" s="31">
        <f>F74/D74*100</f>
        <v>57.33519683205218</v>
      </c>
      <c r="K74" s="31">
        <f>K62+K67+K71+K72</f>
        <v>3842.4299999999994</v>
      </c>
      <c r="L74" s="31"/>
      <c r="M74" s="27">
        <f>M62+M72+M67+M71</f>
        <v>1435.12</v>
      </c>
      <c r="N74" s="27">
        <f>N62+N72+N67+N71+N73</f>
        <v>3426.7199999999993</v>
      </c>
      <c r="O74" s="31">
        <f>N74-M74</f>
        <v>1991.5999999999995</v>
      </c>
      <c r="P74" s="31">
        <f>N74/M74*100</f>
        <v>238.7758514967389</v>
      </c>
      <c r="Q74" s="31">
        <f>N74-8104.96</f>
        <v>-4678.240000000001</v>
      </c>
      <c r="R74" s="127">
        <f>N74/8104.96</f>
        <v>0.4227929564118761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545848.64</v>
      </c>
      <c r="F75" s="27">
        <f>F55+F74</f>
        <v>587534.74</v>
      </c>
      <c r="G75" s="44">
        <f>F75-E75</f>
        <v>41686.09999999998</v>
      </c>
      <c r="H75" s="45">
        <f>F75/E75*100</f>
        <v>107.63693393098863</v>
      </c>
      <c r="I75" s="31">
        <f>F75-D75</f>
        <v>-37592.32999999996</v>
      </c>
      <c r="J75" s="31">
        <f>F75/D75*100</f>
        <v>93.9864498269128</v>
      </c>
      <c r="K75" s="31">
        <f>K55+K74</f>
        <v>169500.478</v>
      </c>
      <c r="L75" s="31">
        <f>F75/(F75-K75)*100</f>
        <v>140.54703009008387</v>
      </c>
      <c r="M75" s="18">
        <f>M55+M74</f>
        <v>52110.560000000005</v>
      </c>
      <c r="N75" s="18">
        <f>N55+N74</f>
        <v>71977.25000000001</v>
      </c>
      <c r="O75" s="31">
        <f>N75-M75</f>
        <v>19866.69000000001</v>
      </c>
      <c r="P75" s="31">
        <f>N75/M75*100</f>
        <v>138.12411534245652</v>
      </c>
      <c r="Q75" s="31">
        <f>N75-42872.96</f>
        <v>29104.290000000015</v>
      </c>
      <c r="R75" s="127">
        <f>N75/42872.96</f>
        <v>1.6788495592559975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2"/>
      <c r="H78" s="252"/>
      <c r="I78" s="252"/>
      <c r="J78" s="252"/>
      <c r="K78" s="115"/>
      <c r="L78" s="115"/>
      <c r="P78" s="29"/>
      <c r="Q78" s="29"/>
    </row>
    <row r="79" spans="2:15" ht="34.5" customHeight="1">
      <c r="B79" s="72" t="s">
        <v>159</v>
      </c>
      <c r="C79" s="111">
        <v>42307</v>
      </c>
      <c r="D79" s="34">
        <v>6147.1</v>
      </c>
      <c r="G79" s="4" t="s">
        <v>166</v>
      </c>
      <c r="N79" s="253"/>
      <c r="O79" s="253"/>
    </row>
    <row r="80" spans="3:15" ht="15.75">
      <c r="C80" s="111">
        <v>42306</v>
      </c>
      <c r="D80" s="34">
        <v>6844.5</v>
      </c>
      <c r="F80" s="155" t="s">
        <v>166</v>
      </c>
      <c r="G80" s="254"/>
      <c r="H80" s="254"/>
      <c r="I80" s="177"/>
      <c r="J80" s="255"/>
      <c r="K80" s="255"/>
      <c r="L80" s="255"/>
      <c r="M80" s="255"/>
      <c r="N80" s="253"/>
      <c r="O80" s="253"/>
    </row>
    <row r="81" spans="3:15" ht="15.75" customHeight="1">
      <c r="C81" s="111">
        <v>42305</v>
      </c>
      <c r="D81" s="34">
        <v>4690.4</v>
      </c>
      <c r="F81" s="90"/>
      <c r="G81" s="254"/>
      <c r="H81" s="254"/>
      <c r="I81" s="177"/>
      <c r="J81" s="259"/>
      <c r="K81" s="259"/>
      <c r="L81" s="259"/>
      <c r="M81" s="259"/>
      <c r="N81" s="253"/>
      <c r="O81" s="253"/>
    </row>
    <row r="82" spans="3:13" ht="15.75" customHeight="1">
      <c r="C82" s="111"/>
      <c r="F82" s="90"/>
      <c r="G82" s="260"/>
      <c r="H82" s="260"/>
      <c r="I82" s="221"/>
      <c r="J82" s="255"/>
      <c r="K82" s="255"/>
      <c r="L82" s="255"/>
      <c r="M82" s="255"/>
    </row>
    <row r="83" spans="2:13" ht="18.75" customHeight="1">
      <c r="B83" s="261" t="s">
        <v>160</v>
      </c>
      <c r="C83" s="262"/>
      <c r="D83" s="108">
        <v>257.30632</v>
      </c>
      <c r="E83" s="220"/>
      <c r="F83" s="222"/>
      <c r="G83" s="254"/>
      <c r="H83" s="254"/>
      <c r="I83" s="223"/>
      <c r="J83" s="255"/>
      <c r="K83" s="255"/>
      <c r="L83" s="255"/>
      <c r="M83" s="255"/>
    </row>
    <row r="84" spans="6:12" ht="9.75" customHeight="1">
      <c r="F84" s="90"/>
      <c r="G84" s="254"/>
      <c r="H84" s="254"/>
      <c r="I84" s="90"/>
      <c r="J84" s="91"/>
      <c r="K84" s="91"/>
      <c r="L84" s="91"/>
    </row>
    <row r="85" spans="2:12" ht="22.5" customHeight="1" hidden="1">
      <c r="B85" s="263" t="s">
        <v>167</v>
      </c>
      <c r="C85" s="264"/>
      <c r="D85" s="110">
        <v>0</v>
      </c>
      <c r="E85" s="70" t="s">
        <v>104</v>
      </c>
      <c r="F85" s="90"/>
      <c r="G85" s="254"/>
      <c r="H85" s="254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4"/>
      <c r="O86" s="254"/>
    </row>
    <row r="87" spans="4:15" ht="15.75">
      <c r="D87" s="104"/>
      <c r="I87" s="34"/>
      <c r="N87" s="265"/>
      <c r="O87" s="265"/>
    </row>
    <row r="88" spans="14:15" ht="15.75">
      <c r="N88" s="254"/>
      <c r="O88" s="254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3" right="0.23" top="0.36" bottom="0.39" header="0.24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K24" sqref="K24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9" t="s">
        <v>305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117"/>
      <c r="R1" s="118"/>
    </row>
    <row r="2" spans="2:18" s="1" customFormat="1" ht="15.75" customHeight="1">
      <c r="B2" s="230"/>
      <c r="C2" s="230"/>
      <c r="D2" s="230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1"/>
      <c r="B3" s="233"/>
      <c r="C3" s="234" t="s">
        <v>0</v>
      </c>
      <c r="D3" s="235" t="s">
        <v>261</v>
      </c>
      <c r="E3" s="40"/>
      <c r="F3" s="236" t="s">
        <v>107</v>
      </c>
      <c r="G3" s="237"/>
      <c r="H3" s="237"/>
      <c r="I3" s="237"/>
      <c r="J3" s="238"/>
      <c r="K3" s="114"/>
      <c r="L3" s="114"/>
      <c r="M3" s="239" t="s">
        <v>303</v>
      </c>
      <c r="N3" s="242" t="s">
        <v>304</v>
      </c>
      <c r="O3" s="242"/>
      <c r="P3" s="242"/>
      <c r="Q3" s="242"/>
      <c r="R3" s="242"/>
    </row>
    <row r="4" spans="1:18" ht="22.5" customHeight="1">
      <c r="A4" s="231"/>
      <c r="B4" s="233"/>
      <c r="C4" s="234"/>
      <c r="D4" s="235"/>
      <c r="E4" s="225" t="s">
        <v>298</v>
      </c>
      <c r="F4" s="244" t="s">
        <v>116</v>
      </c>
      <c r="G4" s="246" t="s">
        <v>299</v>
      </c>
      <c r="H4" s="248" t="s">
        <v>300</v>
      </c>
      <c r="I4" s="250" t="s">
        <v>217</v>
      </c>
      <c r="J4" s="240" t="s">
        <v>218</v>
      </c>
      <c r="K4" s="116" t="s">
        <v>172</v>
      </c>
      <c r="L4" s="121" t="s">
        <v>171</v>
      </c>
      <c r="M4" s="240"/>
      <c r="N4" s="256" t="s">
        <v>306</v>
      </c>
      <c r="O4" s="250" t="s">
        <v>136</v>
      </c>
      <c r="P4" s="258" t="s">
        <v>135</v>
      </c>
      <c r="Q4" s="122" t="s">
        <v>172</v>
      </c>
      <c r="R4" s="123" t="s">
        <v>171</v>
      </c>
    </row>
    <row r="5" spans="1:19" ht="92.25" customHeight="1">
      <c r="A5" s="232"/>
      <c r="B5" s="233"/>
      <c r="C5" s="234"/>
      <c r="D5" s="235"/>
      <c r="E5" s="226"/>
      <c r="F5" s="245"/>
      <c r="G5" s="247"/>
      <c r="H5" s="249"/>
      <c r="I5" s="251"/>
      <c r="J5" s="241"/>
      <c r="K5" s="227" t="s">
        <v>302</v>
      </c>
      <c r="L5" s="243"/>
      <c r="M5" s="241"/>
      <c r="N5" s="257"/>
      <c r="O5" s="251"/>
      <c r="P5" s="258"/>
      <c r="Q5" s="227" t="s">
        <v>176</v>
      </c>
      <c r="R5" s="24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480879.25</v>
      </c>
      <c r="G8" s="18">
        <f aca="true" t="shared" si="0" ref="G8:G54">F8-E8</f>
        <v>22126.75</v>
      </c>
      <c r="H8" s="45">
        <f>F8/E8*100</f>
        <v>104.82324347006285</v>
      </c>
      <c r="I8" s="31">
        <f aca="true" t="shared" si="1" ref="I8:I54">F8-D8</f>
        <v>-91409.75</v>
      </c>
      <c r="J8" s="31">
        <f aca="true" t="shared" si="2" ref="J8:J14">F8/D8*100</f>
        <v>84.02734457590483</v>
      </c>
      <c r="K8" s="18">
        <f>K9+K15+K18+K19+K20+K32</f>
        <v>121895.40599999997</v>
      </c>
      <c r="L8" s="18"/>
      <c r="M8" s="18">
        <f>M9+M15+M18+M19+M20+M32+M17</f>
        <v>45676.399999999994</v>
      </c>
      <c r="N8" s="18">
        <f>N9+N15+N18+N19+N20+N32+N17</f>
        <v>51367.13999999998</v>
      </c>
      <c r="O8" s="31">
        <f aca="true" t="shared" si="3" ref="O8:O54">N8-M8</f>
        <v>5690.739999999983</v>
      </c>
      <c r="P8" s="31">
        <f>F8/M8*100</f>
        <v>1052.7958639472465</v>
      </c>
      <c r="Q8" s="31">
        <f>N8-33748.16</f>
        <v>17618.979999999974</v>
      </c>
      <c r="R8" s="125">
        <f>N8/33748.16</f>
        <v>1.522072314460995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248614.55</v>
      </c>
      <c r="F9" s="143">
        <v>264375.41</v>
      </c>
      <c r="G9" s="43">
        <f t="shared" si="0"/>
        <v>15760.859999999986</v>
      </c>
      <c r="H9" s="35">
        <f aca="true" t="shared" si="4" ref="H9:H32">F9/E9*100</f>
        <v>106.33947610869919</v>
      </c>
      <c r="I9" s="50">
        <f t="shared" si="1"/>
        <v>-48314.590000000026</v>
      </c>
      <c r="J9" s="50">
        <f t="shared" si="2"/>
        <v>84.54872557485048</v>
      </c>
      <c r="K9" s="132">
        <f>F9-282613.68/75*60</f>
        <v>38284.465999999986</v>
      </c>
      <c r="L9" s="132">
        <f>F9/(282613.68/75*60)*100</f>
        <v>116.93321515787912</v>
      </c>
      <c r="M9" s="35">
        <f>E9-серпень!E9</f>
        <v>26089.899999999994</v>
      </c>
      <c r="N9" s="35">
        <f>F9-серпень!F9</f>
        <v>30664.399999999965</v>
      </c>
      <c r="O9" s="47">
        <f t="shared" si="3"/>
        <v>4574.499999999971</v>
      </c>
      <c r="P9" s="50">
        <f aca="true" t="shared" si="5" ref="P9:P32">N9/M9*100</f>
        <v>117.53360495824043</v>
      </c>
      <c r="Q9" s="132">
        <f>N9-26568.11</f>
        <v>4096.2899999999645</v>
      </c>
      <c r="R9" s="133">
        <f>N9/26568.11</f>
        <v>1.1541807076227841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218490.25</v>
      </c>
      <c r="F10" s="144">
        <v>233936.48</v>
      </c>
      <c r="G10" s="135">
        <f t="shared" si="0"/>
        <v>15446.23000000001</v>
      </c>
      <c r="H10" s="137">
        <f t="shared" si="4"/>
        <v>107.06952827414496</v>
      </c>
      <c r="I10" s="136">
        <f t="shared" si="1"/>
        <v>-6473.5199999999895</v>
      </c>
      <c r="J10" s="136">
        <f t="shared" si="2"/>
        <v>97.30730002911693</v>
      </c>
      <c r="K10" s="138">
        <f>F10-251377.17/75*60</f>
        <v>32834.744000000006</v>
      </c>
      <c r="L10" s="138">
        <f>F10/(251377.17/75*60)*100</f>
        <v>116.32742941612399</v>
      </c>
      <c r="M10" s="137">
        <f>E10-серпень!E10</f>
        <v>22490</v>
      </c>
      <c r="N10" s="137">
        <f>F10-серпень!F10</f>
        <v>27318.27000000002</v>
      </c>
      <c r="O10" s="138">
        <f t="shared" si="3"/>
        <v>4828.270000000019</v>
      </c>
      <c r="P10" s="136">
        <f t="shared" si="5"/>
        <v>121.46851934192983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16787.9</v>
      </c>
      <c r="F11" s="144">
        <v>14002.69</v>
      </c>
      <c r="G11" s="135">
        <f t="shared" si="0"/>
        <v>-2785.210000000001</v>
      </c>
      <c r="H11" s="137">
        <f t="shared" si="4"/>
        <v>83.40941987979437</v>
      </c>
      <c r="I11" s="136">
        <f t="shared" si="1"/>
        <v>-9697.31</v>
      </c>
      <c r="J11" s="136">
        <f t="shared" si="2"/>
        <v>59.08308016877637</v>
      </c>
      <c r="K11" s="138">
        <f>F11-18550.28/75*60</f>
        <v>-837.5339999999997</v>
      </c>
      <c r="L11" s="138">
        <f>F11/(18550.28/75*60)*100</f>
        <v>94.35632507972926</v>
      </c>
      <c r="M11" s="137">
        <f>E11-серпень!E11</f>
        <v>2099.9000000000015</v>
      </c>
      <c r="N11" s="137">
        <f>F11-серпень!F11</f>
        <v>1594.130000000001</v>
      </c>
      <c r="O11" s="138">
        <f t="shared" si="3"/>
        <v>-505.77000000000044</v>
      </c>
      <c r="P11" s="136">
        <f t="shared" si="5"/>
        <v>75.91456736035049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3744.64</v>
      </c>
      <c r="G12" s="135">
        <f t="shared" si="0"/>
        <v>-164.36000000000013</v>
      </c>
      <c r="H12" s="137">
        <f t="shared" si="4"/>
        <v>95.79534407776926</v>
      </c>
      <c r="I12" s="136">
        <f t="shared" si="1"/>
        <v>-2055.36</v>
      </c>
      <c r="J12" s="136">
        <f t="shared" si="2"/>
        <v>64.56275862068965</v>
      </c>
      <c r="K12" s="138">
        <f>F12-5298.15/75*60</f>
        <v>-493.87999999999965</v>
      </c>
      <c r="L12" s="138">
        <f>F12/(5298.15*60)*100</f>
        <v>1.1779709269587813</v>
      </c>
      <c r="M12" s="137">
        <f>E12-серпень!E12</f>
        <v>660</v>
      </c>
      <c r="N12" s="137">
        <f>F12-серпень!F12</f>
        <v>413.27999999999975</v>
      </c>
      <c r="O12" s="138">
        <f t="shared" si="3"/>
        <v>-246.72000000000025</v>
      </c>
      <c r="P12" s="136">
        <f t="shared" si="5"/>
        <v>62.61818181818178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5730.24</v>
      </c>
      <c r="G13" s="135">
        <f t="shared" si="0"/>
        <v>-493.15999999999985</v>
      </c>
      <c r="H13" s="137">
        <f t="shared" si="4"/>
        <v>92.07571423980461</v>
      </c>
      <c r="I13" s="136">
        <f t="shared" si="1"/>
        <v>-2669.76</v>
      </c>
      <c r="J13" s="136">
        <f t="shared" si="2"/>
        <v>68.21714285714286</v>
      </c>
      <c r="K13" s="138">
        <f>F13-7303.25/75*60</f>
        <v>-112.36000000000058</v>
      </c>
      <c r="L13" s="138">
        <f>F13/(7303.25/75*60)*100</f>
        <v>98.07688357922841</v>
      </c>
      <c r="M13" s="137">
        <f>E13-серпень!E13</f>
        <v>450</v>
      </c>
      <c r="N13" s="137">
        <f>F13-серпень!F13</f>
        <v>753.5100000000002</v>
      </c>
      <c r="O13" s="138">
        <f t="shared" si="3"/>
        <v>303.5100000000002</v>
      </c>
      <c r="P13" s="136">
        <f t="shared" si="5"/>
        <v>167.44666666666672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6961.36</v>
      </c>
      <c r="G14" s="135">
        <f t="shared" si="0"/>
        <v>3757.3599999999997</v>
      </c>
      <c r="H14" s="137">
        <f t="shared" si="4"/>
        <v>217.270911360799</v>
      </c>
      <c r="I14" s="136">
        <f t="shared" si="1"/>
        <v>2581.3599999999997</v>
      </c>
      <c r="J14" s="136">
        <f t="shared" si="2"/>
        <v>158.9351598173516</v>
      </c>
      <c r="K14" s="138">
        <f>F14-84.83/75*60</f>
        <v>6893.496</v>
      </c>
      <c r="L14" s="138">
        <f>F14/(84.83/75*60)*100</f>
        <v>10257.8097371213</v>
      </c>
      <c r="M14" s="137">
        <f>E14-липень!E14</f>
        <v>780</v>
      </c>
      <c r="N14" s="137">
        <f>F14-серпень!F14</f>
        <v>585.2199999999993</v>
      </c>
      <c r="O14" s="138">
        <f t="shared" si="3"/>
        <v>-194.78000000000065</v>
      </c>
      <c r="P14" s="136">
        <f t="shared" si="5"/>
        <v>75.02820512820504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-666.69</v>
      </c>
      <c r="G15" s="43">
        <f t="shared" si="0"/>
        <v>-838.09</v>
      </c>
      <c r="H15" s="35"/>
      <c r="I15" s="50">
        <f t="shared" si="1"/>
        <v>-666.69</v>
      </c>
      <c r="J15" s="50" t="e">
        <f>F15/D15*100</f>
        <v>#DIV/0!</v>
      </c>
      <c r="K15" s="53">
        <f>F15-(-404.47)</f>
        <v>-262.22</v>
      </c>
      <c r="L15" s="53">
        <f>F15/(-404.47)*100</f>
        <v>164.83051895072563</v>
      </c>
      <c r="M15" s="35">
        <f>E15-серпень!E15</f>
        <v>0.09999999999999432</v>
      </c>
      <c r="N15" s="35">
        <f>F15-серпень!F15</f>
        <v>67.88999999999999</v>
      </c>
      <c r="O15" s="47">
        <f t="shared" si="3"/>
        <v>67.78999999999999</v>
      </c>
      <c r="P15" s="50"/>
      <c r="Q15" s="50">
        <f>N15-358.81</f>
        <v>-290.92</v>
      </c>
      <c r="R15" s="126">
        <f>N15/358.81</f>
        <v>0.18920877344555612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-1165.92</v>
      </c>
      <c r="G16" s="135">
        <f t="shared" si="0"/>
        <v>-1165.92</v>
      </c>
      <c r="H16" s="137"/>
      <c r="I16" s="136">
        <f t="shared" si="1"/>
        <v>-1165.92</v>
      </c>
      <c r="J16" s="136"/>
      <c r="K16" s="138">
        <f>F16-95.61</f>
        <v>-1261.53</v>
      </c>
      <c r="L16" s="138">
        <f>F16/95.61*100</f>
        <v>-1219.4540320050205</v>
      </c>
      <c r="M16" s="35">
        <f>E16-серпень!E16</f>
        <v>0</v>
      </c>
      <c r="N16" s="35">
        <f>F16-серпень!F16</f>
        <v>67.88999999999987</v>
      </c>
      <c r="O16" s="138">
        <f t="shared" si="3"/>
        <v>67.88999999999987</v>
      </c>
      <c r="P16" s="50"/>
      <c r="Q16" s="136">
        <f>N16-358.81</f>
        <v>-290.92000000000013</v>
      </c>
      <c r="R16" s="141">
        <f>N16/358.79</f>
        <v>0.18921932049388185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51468.87</v>
      </c>
      <c r="G19" s="43">
        <f t="shared" si="0"/>
        <v>746.1200000000026</v>
      </c>
      <c r="H19" s="35">
        <f t="shared" si="4"/>
        <v>101.47097702707366</v>
      </c>
      <c r="I19" s="50">
        <f t="shared" si="1"/>
        <v>-10741.129999999997</v>
      </c>
      <c r="J19" s="178">
        <f>F19/D19*100</f>
        <v>82.73407812248836</v>
      </c>
      <c r="K19" s="179">
        <f>F19-0</f>
        <v>51468.87</v>
      </c>
      <c r="L19" s="180"/>
      <c r="M19" s="35">
        <f>E19-серпень!E19</f>
        <v>6800</v>
      </c>
      <c r="N19" s="35">
        <f>F19-серпень!F19</f>
        <v>7591.209999999999</v>
      </c>
      <c r="O19" s="47">
        <f t="shared" si="3"/>
        <v>791.2099999999991</v>
      </c>
      <c r="P19" s="50">
        <f t="shared" si="5"/>
        <v>111.63544117647058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160106.59</v>
      </c>
      <c r="G20" s="43">
        <f t="shared" si="0"/>
        <v>6628.190000000002</v>
      </c>
      <c r="H20" s="35">
        <f t="shared" si="4"/>
        <v>104.3186467932947</v>
      </c>
      <c r="I20" s="50">
        <f t="shared" si="1"/>
        <v>-29763.410000000003</v>
      </c>
      <c r="J20" s="178">
        <f aca="true" t="shared" si="6" ref="J20:J46">F20/D20*100</f>
        <v>84.32432190446094</v>
      </c>
      <c r="K20" s="178">
        <f>K21+K25+K26+K27</f>
        <v>34181.49999999999</v>
      </c>
      <c r="L20" s="136"/>
      <c r="M20" s="35">
        <f>E20-серпень!E20</f>
        <v>12786.100000000006</v>
      </c>
      <c r="N20" s="35">
        <f>F20-серпень!F20</f>
        <v>13038.420000000013</v>
      </c>
      <c r="O20" s="47">
        <f t="shared" si="3"/>
        <v>252.32000000000698</v>
      </c>
      <c r="P20" s="50">
        <f t="shared" si="5"/>
        <v>101.97339298144084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88979.31999999999</v>
      </c>
      <c r="G21" s="43">
        <f t="shared" si="0"/>
        <v>3078.9199999999983</v>
      </c>
      <c r="H21" s="35">
        <f t="shared" si="4"/>
        <v>103.58429064358256</v>
      </c>
      <c r="I21" s="50">
        <f t="shared" si="1"/>
        <v>-21320.680000000008</v>
      </c>
      <c r="J21" s="178">
        <f t="shared" si="6"/>
        <v>80.67028105167724</v>
      </c>
      <c r="K21" s="178">
        <f>K22+K23+K24</f>
        <v>27432.709999999995</v>
      </c>
      <c r="L21" s="136"/>
      <c r="M21" s="35">
        <f>E21-серпень!E21</f>
        <v>8720.099999999991</v>
      </c>
      <c r="N21" s="35">
        <f>F21-серпень!F21</f>
        <v>9180.439999999988</v>
      </c>
      <c r="O21" s="47">
        <f t="shared" si="3"/>
        <v>460.3399999999965</v>
      </c>
      <c r="P21" s="50">
        <f t="shared" si="5"/>
        <v>105.27906790059744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9131.68</v>
      </c>
      <c r="G22" s="135">
        <f t="shared" si="0"/>
        <v>337.28000000000065</v>
      </c>
      <c r="H22" s="137">
        <f t="shared" si="4"/>
        <v>103.83516783407624</v>
      </c>
      <c r="I22" s="136">
        <f t="shared" si="1"/>
        <v>-1568.3199999999997</v>
      </c>
      <c r="J22" s="136">
        <f t="shared" si="6"/>
        <v>85.34280373831777</v>
      </c>
      <c r="K22" s="136">
        <f>F22-314.15</f>
        <v>8817.53</v>
      </c>
      <c r="L22" s="136">
        <f>F22/314.15*100</f>
        <v>2906.78975011937</v>
      </c>
      <c r="M22" s="137">
        <f>E22-серпень!E22</f>
        <v>171.10000000000036</v>
      </c>
      <c r="N22" s="137">
        <f>F22-серпень!F22</f>
        <v>457.9400000000005</v>
      </c>
      <c r="O22" s="138">
        <f t="shared" si="3"/>
        <v>286.84000000000015</v>
      </c>
      <c r="P22" s="136">
        <f t="shared" si="5"/>
        <v>267.64465225014584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3333.63</v>
      </c>
      <c r="G23" s="135">
        <f t="shared" si="0"/>
        <v>1546.63</v>
      </c>
      <c r="H23" s="137">
        <f t="shared" si="4"/>
        <v>186.54896474538333</v>
      </c>
      <c r="I23" s="136">
        <f t="shared" si="1"/>
        <v>1233.63</v>
      </c>
      <c r="J23" s="136">
        <f t="shared" si="6"/>
        <v>158.74428571428572</v>
      </c>
      <c r="K23" s="136">
        <f>F23-0</f>
        <v>3333.63</v>
      </c>
      <c r="L23" s="136"/>
      <c r="M23" s="137">
        <f>E23-серпень!E23</f>
        <v>309</v>
      </c>
      <c r="N23" s="137">
        <f>F23-серпень!F23</f>
        <v>216.6800000000003</v>
      </c>
      <c r="O23" s="138">
        <f t="shared" si="3"/>
        <v>-92.31999999999971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76514.01</v>
      </c>
      <c r="G24" s="135">
        <f t="shared" si="0"/>
        <v>1195.0099999999948</v>
      </c>
      <c r="H24" s="137">
        <f t="shared" si="4"/>
        <v>101.58659833508146</v>
      </c>
      <c r="I24" s="136">
        <f t="shared" si="1"/>
        <v>-20985.990000000005</v>
      </c>
      <c r="J24" s="136">
        <f t="shared" si="6"/>
        <v>78.47590769230769</v>
      </c>
      <c r="K24" s="224">
        <f>F24-61232.46</f>
        <v>15281.549999999996</v>
      </c>
      <c r="L24" s="224">
        <f>F24/61232.46*100</f>
        <v>124.95661614770988</v>
      </c>
      <c r="M24" s="137">
        <f>E24-серпень!E24</f>
        <v>8240</v>
      </c>
      <c r="N24" s="137">
        <f>F24-серпень!F24</f>
        <v>8505.819999999992</v>
      </c>
      <c r="O24" s="138">
        <f t="shared" si="3"/>
        <v>265.81999999999243</v>
      </c>
      <c r="P24" s="136">
        <f t="shared" si="5"/>
        <v>103.22597087378631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55.85</v>
      </c>
      <c r="G25" s="43">
        <f t="shared" si="0"/>
        <v>14.350000000000001</v>
      </c>
      <c r="H25" s="35">
        <f t="shared" si="4"/>
        <v>134.57831325301206</v>
      </c>
      <c r="I25" s="50">
        <f t="shared" si="1"/>
        <v>-14.149999999999999</v>
      </c>
      <c r="J25" s="178">
        <f t="shared" si="6"/>
        <v>79.78571428571429</v>
      </c>
      <c r="K25" s="178">
        <f>F25-44.08</f>
        <v>11.770000000000003</v>
      </c>
      <c r="L25" s="178">
        <f>F25/44.08*100</f>
        <v>126.70145190562614</v>
      </c>
      <c r="M25" s="35">
        <f>E25-серпень!E25</f>
        <v>6</v>
      </c>
      <c r="N25" s="35">
        <f>F25-серпень!F25</f>
        <v>7</v>
      </c>
      <c r="O25" s="47">
        <f t="shared" si="3"/>
        <v>1</v>
      </c>
      <c r="P25" s="50">
        <f t="shared" si="5"/>
        <v>116.66666666666667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-705.98</v>
      </c>
      <c r="G26" s="43">
        <f t="shared" si="0"/>
        <v>-705.98</v>
      </c>
      <c r="H26" s="35"/>
      <c r="I26" s="50">
        <f t="shared" si="1"/>
        <v>-705.98</v>
      </c>
      <c r="J26" s="136"/>
      <c r="K26" s="178">
        <f>F26-4797.94</f>
        <v>-5503.92</v>
      </c>
      <c r="L26" s="178">
        <f>F26/4797.94*100</f>
        <v>-14.714231524362539</v>
      </c>
      <c r="M26" s="35">
        <f>E26-серпень!E26</f>
        <v>0</v>
      </c>
      <c r="N26" s="35">
        <f>F26-серпень!F26</f>
        <v>-91.40999999999997</v>
      </c>
      <c r="O26" s="47">
        <f t="shared" si="3"/>
        <v>-91.40999999999997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71777.4</v>
      </c>
      <c r="G27" s="43">
        <f t="shared" si="0"/>
        <v>4240.899999999994</v>
      </c>
      <c r="H27" s="35">
        <f t="shared" si="4"/>
        <v>106.27941927698355</v>
      </c>
      <c r="I27" s="50">
        <f t="shared" si="1"/>
        <v>-7722.600000000006</v>
      </c>
      <c r="J27" s="178">
        <f t="shared" si="6"/>
        <v>90.28603773584905</v>
      </c>
      <c r="K27" s="132">
        <f>F27-59536.46</f>
        <v>12240.939999999995</v>
      </c>
      <c r="L27" s="132">
        <f>F27/59536.46*100</f>
        <v>120.56040953728184</v>
      </c>
      <c r="M27" s="35">
        <f>E27-серпень!E27</f>
        <v>4060</v>
      </c>
      <c r="N27" s="35">
        <f>F27-серпень!F27</f>
        <v>3942.3899999999994</v>
      </c>
      <c r="O27" s="47">
        <f t="shared" si="3"/>
        <v>-117.61000000000058</v>
      </c>
      <c r="P27" s="50">
        <f t="shared" si="5"/>
        <v>97.10320197044334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E28-серпень!E28</f>
        <v>0</v>
      </c>
      <c r="N28" s="137">
        <f>F28-серпень!F28</f>
        <v>0.030000000000000027</v>
      </c>
      <c r="O28" s="138">
        <f t="shared" si="3"/>
        <v>0.030000000000000027</v>
      </c>
      <c r="P28" s="136"/>
      <c r="Q28" s="139"/>
      <c r="R28" s="140"/>
    </row>
    <row r="29" spans="1:18" s="6" customFormat="1" ht="15.75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17739.76</v>
      </c>
      <c r="G29" s="135">
        <f t="shared" si="0"/>
        <v>959.7599999999984</v>
      </c>
      <c r="H29" s="137">
        <f t="shared" si="4"/>
        <v>105.71966626936829</v>
      </c>
      <c r="I29" s="136">
        <f t="shared" si="1"/>
        <v>-1460.2400000000016</v>
      </c>
      <c r="J29" s="136">
        <f t="shared" si="6"/>
        <v>92.39458333333333</v>
      </c>
      <c r="K29" s="139">
        <f>F29-16472.46</f>
        <v>1267.2999999999993</v>
      </c>
      <c r="L29" s="139">
        <f>F29/16472.46*100</f>
        <v>107.69344712325906</v>
      </c>
      <c r="M29" s="137">
        <f>E29-серпень!E29</f>
        <v>1200</v>
      </c>
      <c r="N29" s="137">
        <f>F29-серпень!F29</f>
        <v>808.4299999999967</v>
      </c>
      <c r="O29" s="138">
        <f t="shared" si="3"/>
        <v>-391.57000000000335</v>
      </c>
      <c r="P29" s="136"/>
      <c r="Q29" s="139"/>
      <c r="R29" s="140"/>
    </row>
    <row r="30" spans="1:18" s="6" customFormat="1" ht="15.75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54015.97</v>
      </c>
      <c r="G30" s="135">
        <f t="shared" si="0"/>
        <v>3259.470000000001</v>
      </c>
      <c r="H30" s="137">
        <f t="shared" si="4"/>
        <v>106.42177849142476</v>
      </c>
      <c r="I30" s="136">
        <f t="shared" si="1"/>
        <v>-6284.029999999999</v>
      </c>
      <c r="J30" s="136">
        <f t="shared" si="6"/>
        <v>89.57872305140963</v>
      </c>
      <c r="K30" s="139">
        <f>F30-43062.79</f>
        <v>10953.18</v>
      </c>
      <c r="L30" s="139">
        <f>F30/43062.79*100</f>
        <v>125.43537007239894</v>
      </c>
      <c r="M30" s="137">
        <f>E30-серпень!E30</f>
        <v>2860</v>
      </c>
      <c r="N30" s="137">
        <f>F30-серпень!F30</f>
        <v>3127.9000000000015</v>
      </c>
      <c r="O30" s="138">
        <f t="shared" si="3"/>
        <v>267.90000000000146</v>
      </c>
      <c r="P30" s="136"/>
      <c r="Q30" s="139"/>
      <c r="R30" s="140"/>
    </row>
    <row r="31" spans="1:18" s="6" customFormat="1" ht="15.75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22.84</v>
      </c>
      <c r="G31" s="135">
        <f t="shared" si="0"/>
        <v>22.84</v>
      </c>
      <c r="H31" s="137"/>
      <c r="I31" s="136">
        <f t="shared" si="1"/>
        <v>22.84</v>
      </c>
      <c r="J31" s="136"/>
      <c r="K31" s="139">
        <f>F31-0</f>
        <v>22.84</v>
      </c>
      <c r="L31" s="139"/>
      <c r="M31" s="137">
        <f>E31-серпень!E31</f>
        <v>0</v>
      </c>
      <c r="N31" s="137">
        <f>F31-серпень!F31</f>
        <v>6.030000000000001</v>
      </c>
      <c r="O31" s="138">
        <f t="shared" si="3"/>
        <v>6.030000000000001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5579.18</v>
      </c>
      <c r="G32" s="43">
        <f t="shared" si="0"/>
        <v>-173.21999999999935</v>
      </c>
      <c r="H32" s="35">
        <f t="shared" si="4"/>
        <v>96.98873513663862</v>
      </c>
      <c r="I32" s="50">
        <f t="shared" si="1"/>
        <v>-1920.8199999999997</v>
      </c>
      <c r="J32" s="178">
        <f t="shared" si="6"/>
        <v>74.38906666666666</v>
      </c>
      <c r="K32" s="178">
        <f>F32-7368.88</f>
        <v>-1789.6999999999998</v>
      </c>
      <c r="L32" s="178">
        <f>F32/7368.88*100</f>
        <v>75.71272703585892</v>
      </c>
      <c r="M32" s="35">
        <f>E32-серпень!E32</f>
        <v>0.2999999999992724</v>
      </c>
      <c r="N32" s="35">
        <f>F32-серпень!F32</f>
        <v>5.220000000000255</v>
      </c>
      <c r="O32" s="47">
        <f t="shared" si="3"/>
        <v>4.920000000000982</v>
      </c>
      <c r="P32" s="50">
        <f t="shared" si="5"/>
        <v>1740.000000004305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26650</v>
      </c>
      <c r="F33" s="18">
        <f>F34+F35+F36+F37+F38+F41+F42+F47+F48+F52+F40+F39</f>
        <v>28244.629999999997</v>
      </c>
      <c r="G33" s="44">
        <f t="shared" si="0"/>
        <v>1594.6299999999974</v>
      </c>
      <c r="H33" s="45">
        <f aca="true" t="shared" si="7" ref="H33:H38">F33/E33*100</f>
        <v>105.98360225140712</v>
      </c>
      <c r="I33" s="31">
        <f t="shared" si="1"/>
        <v>-7394.940000000002</v>
      </c>
      <c r="J33" s="31">
        <f t="shared" si="6"/>
        <v>79.25075975944715</v>
      </c>
      <c r="K33" s="18">
        <f>K34+K35+K36+K37+K38+K41+K42+K47+K48+K52+K40</f>
        <v>18485.94</v>
      </c>
      <c r="L33" s="18"/>
      <c r="M33" s="18">
        <f>M34+M35+M36+M37+M38+M41+M42+M47+M48+M52+M40+M39</f>
        <v>6559.8</v>
      </c>
      <c r="N33" s="18">
        <f>N34+N35+N36+N37+N38+N41+N42+N47+N48+N52+N40+N39</f>
        <v>6637.28</v>
      </c>
      <c r="O33" s="49">
        <f t="shared" si="3"/>
        <v>77.47999999999956</v>
      </c>
      <c r="P33" s="31">
        <f>N33/M33*100</f>
        <v>101.18113357114547</v>
      </c>
      <c r="Q33" s="31">
        <f>N33-1017.63</f>
        <v>5619.65</v>
      </c>
      <c r="R33" s="127">
        <f>N33/1017.63</f>
        <v>6.5222919921779035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 t="shared" si="7"/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f>450+3700</f>
        <v>4150</v>
      </c>
      <c r="F35" s="143">
        <v>4154.01</v>
      </c>
      <c r="G35" s="43">
        <f t="shared" si="0"/>
        <v>4.010000000000218</v>
      </c>
      <c r="H35" s="35">
        <f t="shared" si="7"/>
        <v>100.09662650602411</v>
      </c>
      <c r="I35" s="50">
        <f t="shared" si="1"/>
        <v>-3778.46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3950</v>
      </c>
      <c r="N35" s="35">
        <f>F35-серпень!F35</f>
        <v>3952.6400000000003</v>
      </c>
      <c r="O35" s="47">
        <f t="shared" si="3"/>
        <v>2.6400000000003274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321.98</v>
      </c>
      <c r="G36" s="43">
        <f t="shared" si="0"/>
        <v>81.98000000000002</v>
      </c>
      <c r="H36" s="35">
        <f t="shared" si="7"/>
        <v>134.15833333333333</v>
      </c>
      <c r="I36" s="50">
        <f t="shared" si="1"/>
        <v>81.98000000000002</v>
      </c>
      <c r="J36" s="50"/>
      <c r="K36" s="50">
        <f>F36-272.25</f>
        <v>49.73000000000002</v>
      </c>
      <c r="L36" s="50">
        <f>F36/272.25*100</f>
        <v>118.26629935720845</v>
      </c>
      <c r="M36" s="35">
        <f>E36-серпень!E36</f>
        <v>0</v>
      </c>
      <c r="N36" s="35">
        <f>F36-серпень!F36</f>
        <v>14.78000000000003</v>
      </c>
      <c r="O36" s="47">
        <f t="shared" si="3"/>
        <v>14.78000000000003</v>
      </c>
      <c r="P36" s="50"/>
      <c r="Q36" s="50">
        <f>N36-4.23</f>
        <v>10.55000000000003</v>
      </c>
      <c r="R36" s="126">
        <f>N36/4.23</f>
        <v>3.494089834515373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 t="shared" si="0"/>
        <v>-4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117.11</v>
      </c>
      <c r="G38" s="43">
        <f t="shared" si="0"/>
        <v>12.11</v>
      </c>
      <c r="H38" s="35">
        <f t="shared" si="7"/>
        <v>111.53333333333333</v>
      </c>
      <c r="I38" s="50">
        <f t="shared" si="1"/>
        <v>-22.89</v>
      </c>
      <c r="J38" s="50">
        <f t="shared" si="6"/>
        <v>83.65</v>
      </c>
      <c r="K38" s="50">
        <f>F38-97.95</f>
        <v>19.159999999999997</v>
      </c>
      <c r="L38" s="50">
        <f>F38/97.95*100</f>
        <v>119.56100051046452</v>
      </c>
      <c r="M38" s="35">
        <f>E38-серпень!E38</f>
        <v>15</v>
      </c>
      <c r="N38" s="35">
        <f>F38-серпень!F38</f>
        <v>13.049999999999997</v>
      </c>
      <c r="O38" s="47">
        <f t="shared" si="3"/>
        <v>-1.9500000000000028</v>
      </c>
      <c r="P38" s="50">
        <f>N38/M38*100</f>
        <v>86.99999999999997</v>
      </c>
      <c r="Q38" s="50">
        <f>N38-9.02</f>
        <v>4.029999999999998</v>
      </c>
      <c r="R38" s="126">
        <f>N38/9.02</f>
        <v>1.4467849223946783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>
        <f t="shared" si="0"/>
        <v>4</v>
      </c>
      <c r="H39" s="35"/>
      <c r="I39" s="50">
        <f>F39-D39</f>
        <v>4</v>
      </c>
      <c r="J39" s="50"/>
      <c r="K39" s="50">
        <f>F39-0</f>
        <v>4</v>
      </c>
      <c r="L39" s="50"/>
      <c r="M39" s="35">
        <f>E39-серпень!E39</f>
        <v>0</v>
      </c>
      <c r="N39" s="35">
        <f>F39-серпень!F39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7605.46</v>
      </c>
      <c r="G40" s="43">
        <f t="shared" si="0"/>
        <v>-331.53999999999996</v>
      </c>
      <c r="H40" s="35">
        <f aca="true" t="shared" si="8" ref="H40:H46">F40/E40*100</f>
        <v>95.82285498299106</v>
      </c>
      <c r="I40" s="50">
        <f t="shared" si="1"/>
        <v>-1394.54</v>
      </c>
      <c r="J40" s="50"/>
      <c r="K40" s="50">
        <f>F40-0</f>
        <v>7605.46</v>
      </c>
      <c r="L40" s="50"/>
      <c r="M40" s="35">
        <f>E40-серпень!E40</f>
        <v>1000</v>
      </c>
      <c r="N40" s="35">
        <f>F40-серпень!F40</f>
        <v>833.4099999999999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6785.09</v>
      </c>
      <c r="G41" s="43">
        <f t="shared" si="0"/>
        <v>1565.0900000000001</v>
      </c>
      <c r="H41" s="35">
        <f t="shared" si="8"/>
        <v>129.98256704980844</v>
      </c>
      <c r="I41" s="50">
        <f t="shared" si="1"/>
        <v>-114.90999999999985</v>
      </c>
      <c r="J41" s="50">
        <f t="shared" si="6"/>
        <v>98.33463768115942</v>
      </c>
      <c r="K41" s="50">
        <f>F41-5365.42</f>
        <v>1419.67</v>
      </c>
      <c r="L41" s="50">
        <f>F41/5365.42*100</f>
        <v>126.45962478240287</v>
      </c>
      <c r="M41" s="35">
        <f>E41-серпень!E41</f>
        <v>600</v>
      </c>
      <c r="N41" s="35">
        <f>F41-серпень!F41</f>
        <v>920.2399999999998</v>
      </c>
      <c r="O41" s="47">
        <f t="shared" si="3"/>
        <v>320.2399999999998</v>
      </c>
      <c r="P41" s="50">
        <f>N41/M41*100</f>
        <v>153.3733333333333</v>
      </c>
      <c r="Q41" s="50">
        <f>N41-647.49</f>
        <v>272.7499999999998</v>
      </c>
      <c r="R41" s="126">
        <f>N41/647.49</f>
        <v>1.4212420269038901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5721.95</v>
      </c>
      <c r="G42" s="43">
        <f t="shared" si="0"/>
        <v>-77.05000000000018</v>
      </c>
      <c r="H42" s="35">
        <f t="shared" si="8"/>
        <v>98.67132264183479</v>
      </c>
      <c r="I42" s="50">
        <f t="shared" si="1"/>
        <v>-1378.0500000000002</v>
      </c>
      <c r="J42" s="50">
        <f t="shared" si="6"/>
        <v>80.59084507042253</v>
      </c>
      <c r="K42" s="50">
        <f>F42-782.38</f>
        <v>4939.57</v>
      </c>
      <c r="L42" s="50">
        <f>F42/782.38*100</f>
        <v>731.3517727958281</v>
      </c>
      <c r="M42" s="35">
        <f>E42-серпень!E42</f>
        <v>604.3000000000002</v>
      </c>
      <c r="N42" s="35">
        <f>F42-серпень!F42</f>
        <v>500.5199999999995</v>
      </c>
      <c r="O42" s="47">
        <f t="shared" si="3"/>
        <v>-103.78000000000065</v>
      </c>
      <c r="P42" s="50">
        <f>N42/M42*100</f>
        <v>82.82641072315064</v>
      </c>
      <c r="Q42" s="50">
        <f>N42-79.51</f>
        <v>421.00999999999954</v>
      </c>
      <c r="R42" s="126">
        <f>N42/79.51</f>
        <v>6.295057225506219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801.84</v>
      </c>
      <c r="G43" s="135">
        <f t="shared" si="0"/>
        <v>-38.15999999999997</v>
      </c>
      <c r="H43" s="137">
        <f t="shared" si="8"/>
        <v>95.45714285714286</v>
      </c>
      <c r="I43" s="136">
        <f t="shared" si="1"/>
        <v>-298.15999999999997</v>
      </c>
      <c r="J43" s="136">
        <f t="shared" si="6"/>
        <v>72.89454545454545</v>
      </c>
      <c r="K43" s="136">
        <f>F43-687.25</f>
        <v>114.59000000000003</v>
      </c>
      <c r="L43" s="136">
        <f>F43/687.25*100</f>
        <v>116.67369952710077</v>
      </c>
      <c r="M43" s="35">
        <f>E43-серпень!E43</f>
        <v>80</v>
      </c>
      <c r="N43" s="35">
        <f>F43-серпень!F43</f>
        <v>66.71000000000004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44.07</v>
      </c>
      <c r="G44" s="135">
        <f t="shared" si="0"/>
        <v>-15.93</v>
      </c>
      <c r="H44" s="137">
        <f t="shared" si="8"/>
        <v>73.45</v>
      </c>
      <c r="I44" s="136">
        <f t="shared" si="1"/>
        <v>-35.93</v>
      </c>
      <c r="J44" s="136"/>
      <c r="K44" s="136">
        <f>F44-0</f>
        <v>44.07</v>
      </c>
      <c r="L44" s="136"/>
      <c r="M44" s="35">
        <f>E44-серпень!E44</f>
        <v>10</v>
      </c>
      <c r="N44" s="35">
        <f>F44-серпень!F44</f>
        <v>-1.3800000000000026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 t="shared" si="0"/>
        <v>-0.25</v>
      </c>
      <c r="H45" s="137">
        <f t="shared" si="8"/>
        <v>75</v>
      </c>
      <c r="I45" s="136">
        <f t="shared" si="1"/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4875.29</v>
      </c>
      <c r="G46" s="135">
        <f t="shared" si="0"/>
        <v>-22.710000000000036</v>
      </c>
      <c r="H46" s="137">
        <f t="shared" si="8"/>
        <v>99.53634136382196</v>
      </c>
      <c r="I46" s="136">
        <f t="shared" si="1"/>
        <v>-1042.71</v>
      </c>
      <c r="J46" s="136">
        <f t="shared" si="6"/>
        <v>82.38070294018249</v>
      </c>
      <c r="K46" s="136">
        <f>F46-95.13</f>
        <v>4780.16</v>
      </c>
      <c r="L46" s="136">
        <f>F46/95.13*100</f>
        <v>5124.87122884474</v>
      </c>
      <c r="M46" s="35">
        <f>E46-серпень!E46</f>
        <v>514</v>
      </c>
      <c r="N46" s="35">
        <f>F46-серпень!F46</f>
        <v>435.1800000000003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E47-серпень!E47</f>
        <v>0</v>
      </c>
      <c r="N47" s="35">
        <f>F47-серпень!F47</f>
        <v>3.89</v>
      </c>
      <c r="O47" s="47">
        <f t="shared" si="3"/>
        <v>3.89</v>
      </c>
      <c r="P47" s="50"/>
      <c r="Q47" s="50">
        <f>N47-0</f>
        <v>3.89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3571.45</v>
      </c>
      <c r="G48" s="43">
        <f t="shared" si="0"/>
        <v>481.4499999999998</v>
      </c>
      <c r="H48" s="35">
        <f>F48/E48*100</f>
        <v>115.58090614886731</v>
      </c>
      <c r="I48" s="50">
        <f t="shared" si="1"/>
        <v>-628.5500000000002</v>
      </c>
      <c r="J48" s="50">
        <f>F48/D48*100</f>
        <v>85.0345238095238</v>
      </c>
      <c r="K48" s="50">
        <f>F48-3093.83</f>
        <v>477.6199999999999</v>
      </c>
      <c r="L48" s="50">
        <f>F48/3093.83*100</f>
        <v>115.43782302195014</v>
      </c>
      <c r="M48" s="35">
        <f>E48-серпень!E48</f>
        <v>390</v>
      </c>
      <c r="N48" s="35">
        <f>F48-серпень!F48</f>
        <v>378.7999999999997</v>
      </c>
      <c r="O48" s="47">
        <f t="shared" si="3"/>
        <v>-11.200000000000273</v>
      </c>
      <c r="P48" s="50">
        <f aca="true" t="shared" si="9" ref="P48:P53">N48/M48*100</f>
        <v>97.12820512820505</v>
      </c>
      <c r="Q48" s="50">
        <f>N48-277.38</f>
        <v>101.41999999999973</v>
      </c>
      <c r="R48" s="126">
        <f>N48/277.38</f>
        <v>1.3656355901651154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979.2</v>
      </c>
      <c r="G51" s="135">
        <f t="shared" si="0"/>
        <v>979.2</v>
      </c>
      <c r="H51" s="137"/>
      <c r="I51" s="136">
        <f t="shared" si="1"/>
        <v>979.2</v>
      </c>
      <c r="J51" s="136"/>
      <c r="K51" s="219">
        <f>F51-758.38</f>
        <v>220.82000000000005</v>
      </c>
      <c r="L51" s="219">
        <f>F51/758.38*100</f>
        <v>129.11732904348744</v>
      </c>
      <c r="M51" s="35">
        <f>E51-серпень!E51</f>
        <v>0</v>
      </c>
      <c r="N51" s="35">
        <f>F51-серпень!F51</f>
        <v>88.70000000000005</v>
      </c>
      <c r="O51" s="138">
        <f t="shared" si="3"/>
        <v>88.70000000000005</v>
      </c>
      <c r="P51" s="136"/>
      <c r="Q51" s="50">
        <f>N51-64.93</f>
        <v>23.77000000000004</v>
      </c>
      <c r="R51" s="126">
        <f>N51/64.93</f>
        <v>1.366086554751271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/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E52-серпень!E52</f>
        <v>0</v>
      </c>
      <c r="N52" s="35">
        <f>F52-серпень!F52</f>
        <v>19.45</v>
      </c>
      <c r="O52" s="47">
        <f t="shared" si="3"/>
        <v>19.45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 t="shared" si="0"/>
        <v>-4.979999999999999</v>
      </c>
      <c r="H53" s="35">
        <f>F53/E53*100</f>
        <v>74.3298969072165</v>
      </c>
      <c r="I53" s="50">
        <f t="shared" si="1"/>
        <v>-12.08</v>
      </c>
      <c r="J53" s="50">
        <f>F53/D53*100</f>
        <v>54.41509433962264</v>
      </c>
      <c r="K53" s="50">
        <f>F53-19.9</f>
        <v>-5.479999999999999</v>
      </c>
      <c r="L53" s="50">
        <f>F53/19.9*100</f>
        <v>72.46231155778895</v>
      </c>
      <c r="M53" s="35">
        <f>E53-серпень!E53</f>
        <v>2.1999999999999993</v>
      </c>
      <c r="N53" s="35">
        <f>F53-серпень!F53</f>
        <v>0</v>
      </c>
      <c r="O53" s="47">
        <f t="shared" si="3"/>
        <v>-2.1999999999999993</v>
      </c>
      <c r="P53" s="50">
        <f t="shared" si="9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485421.9</v>
      </c>
      <c r="F55" s="18">
        <f>F8+F33+F53+F54</f>
        <v>509138.61</v>
      </c>
      <c r="G55" s="44">
        <f>F55-E55</f>
        <v>23716.709999999963</v>
      </c>
      <c r="H55" s="45">
        <f>F55/E55*100</f>
        <v>104.88579316260763</v>
      </c>
      <c r="I55" s="31">
        <f>F55-D55</f>
        <v>-98816.45999999996</v>
      </c>
      <c r="J55" s="31">
        <f>F55/D55*100</f>
        <v>83.74609163140954</v>
      </c>
      <c r="K55" s="31">
        <f>K8+K33+K53+K54</f>
        <v>140375.80599999995</v>
      </c>
      <c r="L55" s="31">
        <f>F55/(F55-K55)*100</f>
        <v>138.06669340761383</v>
      </c>
      <c r="M55" s="18">
        <f>M8+M33+M53+M54</f>
        <v>52238.399999999994</v>
      </c>
      <c r="N55" s="18">
        <f>N8+N33+N53+N54</f>
        <v>58004.41999999998</v>
      </c>
      <c r="O55" s="49">
        <f>N55-M55</f>
        <v>5766.019999999982</v>
      </c>
      <c r="P55" s="31">
        <f>N55/M55*100</f>
        <v>111.0378954945021</v>
      </c>
      <c r="Q55" s="31">
        <f>N55-34768</f>
        <v>23236.419999999976</v>
      </c>
      <c r="R55" s="171">
        <f>N55/34768</f>
        <v>1.6683277726645185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 aca="true" t="shared" si="10" ref="G61:G68">F61-E61</f>
        <v>-51.7</v>
      </c>
      <c r="H61" s="35"/>
      <c r="I61" s="53">
        <f aca="true" t="shared" si="11" ref="I61:I68">F61-D61</f>
        <v>-51.7</v>
      </c>
      <c r="J61" s="53"/>
      <c r="K61" s="47">
        <f>F61-237.16</f>
        <v>-288.86</v>
      </c>
      <c r="L61" s="53"/>
      <c r="M61" s="35">
        <v>0</v>
      </c>
      <c r="N61" s="36">
        <f>F61-серпень!F61</f>
        <v>-2.510000000000005</v>
      </c>
      <c r="O61" s="47">
        <f aca="true" t="shared" si="12" ref="O61:O68">N61-M61</f>
        <v>-2.510000000000005</v>
      </c>
      <c r="P61" s="53"/>
      <c r="Q61" s="53">
        <f>N61-24.53</f>
        <v>-27.040000000000006</v>
      </c>
      <c r="R61" s="129">
        <f>N61/24.53</f>
        <v>-0.10232368528332675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 t="shared" si="10"/>
        <v>-51.7</v>
      </c>
      <c r="H62" s="65"/>
      <c r="I62" s="54">
        <f t="shared" si="11"/>
        <v>-51.7</v>
      </c>
      <c r="J62" s="54"/>
      <c r="K62" s="54">
        <f>K60+K61</f>
        <v>-288.86</v>
      </c>
      <c r="L62" s="54"/>
      <c r="M62" s="55">
        <f>M61</f>
        <v>0</v>
      </c>
      <c r="N62" s="33">
        <f>SUM(N60:N61)</f>
        <v>-2.510000000000005</v>
      </c>
      <c r="O62" s="54">
        <f t="shared" si="12"/>
        <v>-2.510000000000005</v>
      </c>
      <c r="P62" s="54"/>
      <c r="Q62" s="54">
        <f>N62-92.85</f>
        <v>-95.36</v>
      </c>
      <c r="R62" s="130">
        <f>N62/92.85</f>
        <v>-0.0270328486806678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</v>
      </c>
      <c r="G64" s="43">
        <f t="shared" si="10"/>
        <v>-1006.9</v>
      </c>
      <c r="H64" s="35"/>
      <c r="I64" s="53">
        <f t="shared" si="11"/>
        <v>-1906.9</v>
      </c>
      <c r="J64" s="53">
        <f t="shared" si="13"/>
        <v>23.724</v>
      </c>
      <c r="K64" s="53">
        <f>F64-1754.73</f>
        <v>-1161.63</v>
      </c>
      <c r="L64" s="53">
        <f>F64/1754.73*100</f>
        <v>33.800071805918854</v>
      </c>
      <c r="M64" s="35">
        <f>E64-серпень!E64</f>
        <v>600</v>
      </c>
      <c r="N64" s="35">
        <f>F64-серпень!F64</f>
        <v>0.08000000000004093</v>
      </c>
      <c r="O64" s="47">
        <f t="shared" si="12"/>
        <v>-599.92</v>
      </c>
      <c r="P64" s="53"/>
      <c r="Q64" s="53">
        <f>N64-0.04</f>
        <v>0.040000000000040926</v>
      </c>
      <c r="R64" s="129">
        <f>N64/0.04</f>
        <v>2.000000000001023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5462.16</v>
      </c>
      <c r="F65" s="146">
        <v>3987.63</v>
      </c>
      <c r="G65" s="43">
        <f t="shared" si="10"/>
        <v>-1474.5299999999997</v>
      </c>
      <c r="H65" s="35">
        <f>F65/E65*100</f>
        <v>73.0046355288018</v>
      </c>
      <c r="I65" s="53">
        <f t="shared" si="11"/>
        <v>-7588.37</v>
      </c>
      <c r="J65" s="53">
        <f t="shared" si="13"/>
        <v>34.447391154111955</v>
      </c>
      <c r="K65" s="53">
        <f>F65-2393.24</f>
        <v>1594.3900000000003</v>
      </c>
      <c r="L65" s="53">
        <f>F65/2393.24*100</f>
        <v>166.6205645902626</v>
      </c>
      <c r="M65" s="35">
        <f>E65-серпень!E65</f>
        <v>728.7200000000003</v>
      </c>
      <c r="N65" s="35">
        <f>F65-серпень!F65</f>
        <v>228.99000000000024</v>
      </c>
      <c r="O65" s="47">
        <f t="shared" si="12"/>
        <v>-499.73</v>
      </c>
      <c r="P65" s="53">
        <f>N65/M65*100</f>
        <v>31.423592051816907</v>
      </c>
      <c r="Q65" s="53">
        <f>N65-450.01</f>
        <v>-221.01999999999975</v>
      </c>
      <c r="R65" s="129">
        <f>N65/450.01</f>
        <v>0.5088553587698057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1184.8</v>
      </c>
      <c r="F66" s="146">
        <v>1859.08</v>
      </c>
      <c r="G66" s="43">
        <f t="shared" si="10"/>
        <v>674.28</v>
      </c>
      <c r="H66" s="35">
        <f>F66/E66*100</f>
        <v>156.91087103308575</v>
      </c>
      <c r="I66" s="53">
        <f t="shared" si="11"/>
        <v>-1140.92</v>
      </c>
      <c r="J66" s="53">
        <f t="shared" si="13"/>
        <v>61.96933333333333</v>
      </c>
      <c r="K66" s="53">
        <f>F66-1074.91</f>
        <v>784.1699999999998</v>
      </c>
      <c r="L66" s="53">
        <f>F66/1074.91*100</f>
        <v>172.95215413383445</v>
      </c>
      <c r="M66" s="35">
        <f>E66-серпень!E66</f>
        <v>148.0999999999999</v>
      </c>
      <c r="N66" s="35">
        <f>F66-серпень!F66</f>
        <v>20.439999999999827</v>
      </c>
      <c r="O66" s="47">
        <f t="shared" si="12"/>
        <v>-127.66000000000008</v>
      </c>
      <c r="P66" s="53">
        <f>N66/M66*100</f>
        <v>13.801485482781795</v>
      </c>
      <c r="Q66" s="53">
        <f>N66-1.05</f>
        <v>19.389999999999826</v>
      </c>
      <c r="R66" s="129">
        <f>N66/1.05</f>
        <v>19.4666666666665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6439.81</v>
      </c>
      <c r="G67" s="55">
        <f t="shared" si="10"/>
        <v>-1807.1499999999987</v>
      </c>
      <c r="H67" s="65">
        <f>F67/E67*100</f>
        <v>78.08707693501606</v>
      </c>
      <c r="I67" s="54">
        <f t="shared" si="11"/>
        <v>-10636.189999999999</v>
      </c>
      <c r="J67" s="54">
        <f t="shared" si="13"/>
        <v>37.71263762005154</v>
      </c>
      <c r="K67" s="54">
        <f>K64+K65+K66</f>
        <v>1216.93</v>
      </c>
      <c r="L67" s="54"/>
      <c r="M67" s="55">
        <f>M64+M65+M66</f>
        <v>1476.8200000000002</v>
      </c>
      <c r="N67" s="55">
        <f>N64+N65+N66</f>
        <v>249.5100000000001</v>
      </c>
      <c r="O67" s="54">
        <f t="shared" si="12"/>
        <v>-1227.31</v>
      </c>
      <c r="P67" s="54">
        <f>N67/M67*100</f>
        <v>16.895085386167583</v>
      </c>
      <c r="Q67" s="54">
        <f>N67-7985.28</f>
        <v>-7735.7699999999995</v>
      </c>
      <c r="R67" s="173">
        <f>N67/7985.28</f>
        <v>0.03124624308728061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25</v>
      </c>
      <c r="F68" s="146">
        <v>0.35</v>
      </c>
      <c r="G68" s="43">
        <f t="shared" si="10"/>
        <v>-24.65</v>
      </c>
      <c r="H68" s="35"/>
      <c r="I68" s="53">
        <f t="shared" si="11"/>
        <v>-34.65</v>
      </c>
      <c r="J68" s="53">
        <f t="shared" si="13"/>
        <v>1</v>
      </c>
      <c r="K68" s="53">
        <f>F68-24.17</f>
        <v>-23.82</v>
      </c>
      <c r="L68" s="53">
        <f>F68/24.17*100</f>
        <v>1.448076127430699</v>
      </c>
      <c r="M68" s="35">
        <f>E68-серпень!E68</f>
        <v>10</v>
      </c>
      <c r="N68" s="35">
        <f>F68-серпень!F68</f>
        <v>0.16999999999999998</v>
      </c>
      <c r="O68" s="47">
        <f t="shared" si="12"/>
        <v>-9.83</v>
      </c>
      <c r="P68" s="53"/>
      <c r="Q68" s="53">
        <f>N68-0.16</f>
        <v>0.009999999999999981</v>
      </c>
      <c r="R68" s="129">
        <f>N68/0.16</f>
        <v>1.0624999999999998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</v>
      </c>
      <c r="G70" s="43">
        <f>F70-E70</f>
        <v>1</v>
      </c>
      <c r="H70" s="35"/>
      <c r="I70" s="53">
        <f>F70-D70</f>
        <v>1</v>
      </c>
      <c r="J70" s="53"/>
      <c r="K70" s="53">
        <f>F70-1.08</f>
        <v>-0.08000000000000007</v>
      </c>
      <c r="L70" s="53">
        <f>F70/1.08*100</f>
        <v>92.59259259259258</v>
      </c>
      <c r="M70" s="35">
        <f>E70-серпень!E70</f>
        <v>0</v>
      </c>
      <c r="N70" s="35">
        <f>F70-серпень!F70</f>
        <v>0.12</v>
      </c>
      <c r="O70" s="47">
        <f>N70-M70</f>
        <v>0.12</v>
      </c>
      <c r="P70" s="53"/>
      <c r="Q70" s="53">
        <f>N70-(-0.21)</f>
        <v>0.32999999999999996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1.35</v>
      </c>
      <c r="G71" s="55">
        <f>F71-E71</f>
        <v>-35.65</v>
      </c>
      <c r="H71" s="65"/>
      <c r="I71" s="54">
        <f>F71-D71</f>
        <v>-52.65</v>
      </c>
      <c r="J71" s="54">
        <f>F71/D71*100</f>
        <v>2.5</v>
      </c>
      <c r="K71" s="54">
        <f>K68+K69+K70</f>
        <v>-43.379999999999995</v>
      </c>
      <c r="L71" s="54"/>
      <c r="M71" s="55">
        <f>M68+M70+M69</f>
        <v>10</v>
      </c>
      <c r="N71" s="55">
        <f>N68+N70+N69</f>
        <v>0.29</v>
      </c>
      <c r="O71" s="54">
        <f>N71-M71</f>
        <v>-9.71</v>
      </c>
      <c r="P71" s="54"/>
      <c r="Q71" s="54">
        <f>N71-26.38</f>
        <v>-26.09</v>
      </c>
      <c r="R71" s="128">
        <f>N71/26.38</f>
        <v>0.010993176648976496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32.22</v>
      </c>
      <c r="F72" s="146">
        <v>29.22</v>
      </c>
      <c r="G72" s="43">
        <f>F72-E72</f>
        <v>-3</v>
      </c>
      <c r="H72" s="35">
        <f>F72/E72*100</f>
        <v>90.68901303538175</v>
      </c>
      <c r="I72" s="53">
        <f>F72-D72</f>
        <v>-12.780000000000001</v>
      </c>
      <c r="J72" s="53">
        <f>F72/D72*100</f>
        <v>69.57142857142857</v>
      </c>
      <c r="K72" s="53">
        <f>F72-31.86</f>
        <v>-2.6400000000000006</v>
      </c>
      <c r="L72" s="53">
        <f>F72/31.86*100</f>
        <v>91.71374764595103</v>
      </c>
      <c r="M72" s="35">
        <f>E72-серпень!E72</f>
        <v>9</v>
      </c>
      <c r="N72" s="35">
        <f>F72-серпень!F72</f>
        <v>8.16</v>
      </c>
      <c r="O72" s="47">
        <f>N72-M72</f>
        <v>-0.8399999999999999</v>
      </c>
      <c r="P72" s="53">
        <f>N72/M72*100</f>
        <v>90.66666666666667</v>
      </c>
      <c r="Q72" s="53">
        <f>N72-0.45</f>
        <v>7.71</v>
      </c>
      <c r="R72" s="129">
        <f>N72/0.45</f>
        <v>18.133333333333333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6418.880000000001</v>
      </c>
      <c r="G74" s="44">
        <f>F74-E74</f>
        <v>-1897.2999999999975</v>
      </c>
      <c r="H74" s="45">
        <f>F74/E74*100</f>
        <v>77.18543850662206</v>
      </c>
      <c r="I74" s="31">
        <f>F74-D74</f>
        <v>-10753.119999999999</v>
      </c>
      <c r="J74" s="31">
        <f>F74/D74*100</f>
        <v>37.37992080130446</v>
      </c>
      <c r="K74" s="31">
        <f>K62+K67+K71+K72</f>
        <v>882.0500000000001</v>
      </c>
      <c r="L74" s="31"/>
      <c r="M74" s="27">
        <f>M62+M72+M67+M71</f>
        <v>1495.8200000000002</v>
      </c>
      <c r="N74" s="27">
        <f>N62+N72+N67+N71+N73</f>
        <v>255.4500000000001</v>
      </c>
      <c r="O74" s="31">
        <f>N74-M74</f>
        <v>-1240.3700000000001</v>
      </c>
      <c r="P74" s="31">
        <f>N74/M74*100</f>
        <v>17.077589549544737</v>
      </c>
      <c r="Q74" s="31">
        <f>N74-8104.96</f>
        <v>-7849.51</v>
      </c>
      <c r="R74" s="127">
        <f>N74/8104.96</f>
        <v>0.031517737286797236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493738.08</v>
      </c>
      <c r="F75" s="27">
        <f>F55+F74</f>
        <v>515557.49</v>
      </c>
      <c r="G75" s="44">
        <f>F75-E75</f>
        <v>21819.409999999974</v>
      </c>
      <c r="H75" s="45">
        <f>F75/E75*100</f>
        <v>104.41922770064647</v>
      </c>
      <c r="I75" s="31">
        <f>F75-D75</f>
        <v>-109569.57999999996</v>
      </c>
      <c r="J75" s="31">
        <f>F75/D75*100</f>
        <v>82.47243076515628</v>
      </c>
      <c r="K75" s="31">
        <f>K55+K74</f>
        <v>141257.85599999994</v>
      </c>
      <c r="L75" s="31">
        <f>F75/(F75-K75)*100</f>
        <v>137.73924502421497</v>
      </c>
      <c r="M75" s="18">
        <f>M55+M74</f>
        <v>53734.219999999994</v>
      </c>
      <c r="N75" s="18">
        <f>N55+N74</f>
        <v>58259.86999999997</v>
      </c>
      <c r="O75" s="31">
        <f>N75-M75</f>
        <v>4525.64999999998</v>
      </c>
      <c r="P75" s="31">
        <f>N75/M75*100</f>
        <v>108.42228658013455</v>
      </c>
      <c r="Q75" s="31">
        <f>N75-42872.96</f>
        <v>15386.909999999974</v>
      </c>
      <c r="R75" s="127">
        <f>N75/42872.96</f>
        <v>1.3588954436549279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2"/>
      <c r="H78" s="252"/>
      <c r="I78" s="252"/>
      <c r="J78" s="252"/>
      <c r="K78" s="115"/>
      <c r="L78" s="115"/>
      <c r="P78" s="29"/>
      <c r="Q78" s="29"/>
    </row>
    <row r="79" spans="2:15" ht="34.5" customHeight="1">
      <c r="B79" s="72" t="s">
        <v>159</v>
      </c>
      <c r="C79" s="111">
        <v>42277</v>
      </c>
      <c r="D79" s="34">
        <v>6512.6</v>
      </c>
      <c r="G79" s="4" t="s">
        <v>166</v>
      </c>
      <c r="N79" s="253"/>
      <c r="O79" s="253"/>
    </row>
    <row r="80" spans="3:15" ht="15.75">
      <c r="C80" s="111">
        <v>42276</v>
      </c>
      <c r="D80" s="34">
        <v>6511.1</v>
      </c>
      <c r="F80" s="155" t="s">
        <v>166</v>
      </c>
      <c r="G80" s="254"/>
      <c r="H80" s="254"/>
      <c r="I80" s="177"/>
      <c r="J80" s="255"/>
      <c r="K80" s="255"/>
      <c r="L80" s="255"/>
      <c r="M80" s="255"/>
      <c r="N80" s="253"/>
      <c r="O80" s="253"/>
    </row>
    <row r="81" spans="3:15" ht="15.75" customHeight="1">
      <c r="C81" s="111">
        <v>42275</v>
      </c>
      <c r="D81" s="34">
        <v>4229.6</v>
      </c>
      <c r="F81" s="90"/>
      <c r="G81" s="254"/>
      <c r="H81" s="254"/>
      <c r="I81" s="177"/>
      <c r="J81" s="259"/>
      <c r="K81" s="259"/>
      <c r="L81" s="259"/>
      <c r="M81" s="259"/>
      <c r="N81" s="253"/>
      <c r="O81" s="253"/>
    </row>
    <row r="82" spans="3:13" ht="15.75" customHeight="1">
      <c r="C82" s="111"/>
      <c r="F82" s="90"/>
      <c r="G82" s="260"/>
      <c r="H82" s="260"/>
      <c r="I82" s="221"/>
      <c r="J82" s="255"/>
      <c r="K82" s="255"/>
      <c r="L82" s="255"/>
      <c r="M82" s="255"/>
    </row>
    <row r="83" spans="2:13" ht="18.75" customHeight="1">
      <c r="B83" s="261" t="s">
        <v>160</v>
      </c>
      <c r="C83" s="262"/>
      <c r="D83" s="108">
        <f>1507100.82/1000</f>
        <v>1507.10082</v>
      </c>
      <c r="E83" s="220"/>
      <c r="F83" s="222"/>
      <c r="G83" s="254"/>
      <c r="H83" s="254"/>
      <c r="I83" s="223"/>
      <c r="J83" s="255"/>
      <c r="K83" s="255"/>
      <c r="L83" s="255"/>
      <c r="M83" s="255"/>
    </row>
    <row r="84" spans="6:12" ht="9.75" customHeight="1">
      <c r="F84" s="90"/>
      <c r="G84" s="254"/>
      <c r="H84" s="254"/>
      <c r="I84" s="90"/>
      <c r="J84" s="91"/>
      <c r="K84" s="91"/>
      <c r="L84" s="91"/>
    </row>
    <row r="85" spans="2:12" ht="22.5" customHeight="1" hidden="1">
      <c r="B85" s="263" t="s">
        <v>167</v>
      </c>
      <c r="C85" s="264"/>
      <c r="D85" s="110">
        <v>0</v>
      </c>
      <c r="E85" s="70" t="s">
        <v>104</v>
      </c>
      <c r="F85" s="90"/>
      <c r="G85" s="254"/>
      <c r="H85" s="254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4"/>
      <c r="O86" s="254"/>
    </row>
    <row r="87" spans="4:15" ht="15.75">
      <c r="D87" s="104"/>
      <c r="I87" s="34"/>
      <c r="N87" s="265"/>
      <c r="O87" s="265"/>
    </row>
    <row r="88" spans="14:15" ht="15.75">
      <c r="N88" s="254"/>
      <c r="O88" s="254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8" right="0.25" top="0.27" bottom="0.36" header="0.2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2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87" sqref="D87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9" t="s">
        <v>296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117"/>
      <c r="R1" s="118"/>
    </row>
    <row r="2" spans="2:18" s="1" customFormat="1" ht="15.75" customHeight="1">
      <c r="B2" s="230"/>
      <c r="C2" s="230"/>
      <c r="D2" s="230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1"/>
      <c r="B3" s="233"/>
      <c r="C3" s="234" t="s">
        <v>0</v>
      </c>
      <c r="D3" s="235" t="s">
        <v>261</v>
      </c>
      <c r="E3" s="40"/>
      <c r="F3" s="236" t="s">
        <v>107</v>
      </c>
      <c r="G3" s="237"/>
      <c r="H3" s="237"/>
      <c r="I3" s="237"/>
      <c r="J3" s="238"/>
      <c r="K3" s="114"/>
      <c r="L3" s="114"/>
      <c r="M3" s="239" t="s">
        <v>293</v>
      </c>
      <c r="N3" s="242" t="s">
        <v>294</v>
      </c>
      <c r="O3" s="242"/>
      <c r="P3" s="242"/>
      <c r="Q3" s="242"/>
      <c r="R3" s="242"/>
    </row>
    <row r="4" spans="1:18" ht="22.5" customHeight="1">
      <c r="A4" s="231"/>
      <c r="B4" s="233"/>
      <c r="C4" s="234"/>
      <c r="D4" s="235"/>
      <c r="E4" s="225" t="s">
        <v>291</v>
      </c>
      <c r="F4" s="244" t="s">
        <v>116</v>
      </c>
      <c r="G4" s="246" t="s">
        <v>292</v>
      </c>
      <c r="H4" s="248" t="s">
        <v>301</v>
      </c>
      <c r="I4" s="250" t="s">
        <v>217</v>
      </c>
      <c r="J4" s="240" t="s">
        <v>218</v>
      </c>
      <c r="K4" s="116" t="s">
        <v>172</v>
      </c>
      <c r="L4" s="121" t="s">
        <v>171</v>
      </c>
      <c r="M4" s="240"/>
      <c r="N4" s="256" t="s">
        <v>297</v>
      </c>
      <c r="O4" s="250" t="s">
        <v>136</v>
      </c>
      <c r="P4" s="258" t="s">
        <v>135</v>
      </c>
      <c r="Q4" s="122" t="s">
        <v>172</v>
      </c>
      <c r="R4" s="123" t="s">
        <v>171</v>
      </c>
    </row>
    <row r="5" spans="1:19" ht="92.25" customHeight="1">
      <c r="A5" s="232"/>
      <c r="B5" s="233"/>
      <c r="C5" s="234"/>
      <c r="D5" s="235"/>
      <c r="E5" s="226"/>
      <c r="F5" s="245"/>
      <c r="G5" s="247"/>
      <c r="H5" s="249"/>
      <c r="I5" s="251"/>
      <c r="J5" s="241"/>
      <c r="K5" s="227" t="s">
        <v>295</v>
      </c>
      <c r="L5" s="243"/>
      <c r="M5" s="241"/>
      <c r="N5" s="257"/>
      <c r="O5" s="251"/>
      <c r="P5" s="258"/>
      <c r="Q5" s="227" t="s">
        <v>176</v>
      </c>
      <c r="R5" s="24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 aca="true" t="shared" si="0" ref="G8:G54">F8-E8</f>
        <v>16436.010000000126</v>
      </c>
      <c r="H8" s="45">
        <f>F8/E8*100</f>
        <v>103.97893027459108</v>
      </c>
      <c r="I8" s="31">
        <f aca="true" t="shared" si="1" ref="I8:I54">F8-D8</f>
        <v>-142776.88999999996</v>
      </c>
      <c r="J8" s="31">
        <f aca="true" t="shared" si="2" ref="J8:J14">F8/D8*100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 aca="true" t="shared" si="3" ref="O8:O54">N8-M8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233711.01</v>
      </c>
      <c r="G9" s="43">
        <f t="shared" si="0"/>
        <v>11186.360000000015</v>
      </c>
      <c r="H9" s="35">
        <f aca="true" t="shared" si="4" ref="H9:H32">F9/E9*100</f>
        <v>105.02702060198726</v>
      </c>
      <c r="I9" s="50">
        <f t="shared" si="1"/>
        <v>-78978.98999999999</v>
      </c>
      <c r="J9" s="50">
        <f t="shared" si="2"/>
        <v>74.74208001535067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 t="shared" si="3"/>
        <v>-3943.429999999993</v>
      </c>
      <c r="P9" s="50">
        <f aca="true" t="shared" si="5" ref="P9:P32">N9/M9*100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206618.21</v>
      </c>
      <c r="G10" s="135">
        <f t="shared" si="0"/>
        <v>10617.959999999992</v>
      </c>
      <c r="H10" s="137">
        <f t="shared" si="4"/>
        <v>105.4173196207658</v>
      </c>
      <c r="I10" s="136">
        <f t="shared" si="1"/>
        <v>-33791.79000000001</v>
      </c>
      <c r="J10" s="136">
        <f t="shared" si="2"/>
        <v>85.94409966307558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 t="shared" si="3"/>
        <v>-4221.760000000009</v>
      </c>
      <c r="P10" s="136">
        <f t="shared" si="5"/>
        <v>86.27962300942474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12408.56</v>
      </c>
      <c r="G11" s="135">
        <f t="shared" si="0"/>
        <v>-2279.4400000000005</v>
      </c>
      <c r="H11" s="137">
        <f t="shared" si="4"/>
        <v>84.48093681917211</v>
      </c>
      <c r="I11" s="136">
        <f t="shared" si="1"/>
        <v>-11291.44</v>
      </c>
      <c r="J11" s="136">
        <f t="shared" si="2"/>
        <v>52.356793248945145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 t="shared" si="3"/>
        <v>-362.8299999999999</v>
      </c>
      <c r="P11" s="136">
        <f t="shared" si="5"/>
        <v>81.67525252525253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 t="shared" si="0"/>
        <v>82.36000000000013</v>
      </c>
      <c r="H12" s="137">
        <f t="shared" si="4"/>
        <v>102.53493382579255</v>
      </c>
      <c r="I12" s="136">
        <f t="shared" si="1"/>
        <v>-2468.64</v>
      </c>
      <c r="J12" s="136">
        <f t="shared" si="2"/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 t="shared" si="3"/>
        <v>-141.55999999999995</v>
      </c>
      <c r="P12" s="136">
        <f t="shared" si="5"/>
        <v>66.2952380952381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 t="shared" si="0"/>
        <v>-796.6700000000001</v>
      </c>
      <c r="H13" s="137">
        <f t="shared" si="4"/>
        <v>86.2010253923165</v>
      </c>
      <c r="I13" s="136">
        <f t="shared" si="1"/>
        <v>-3423.2700000000004</v>
      </c>
      <c r="J13" s="136">
        <f t="shared" si="2"/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 t="shared" si="3"/>
        <v>256.7099999999996</v>
      </c>
      <c r="P13" s="136">
        <f t="shared" si="5"/>
        <v>138.8954545454545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 t="shared" si="0"/>
        <v>-45.08999999999651</v>
      </c>
      <c r="H19" s="35">
        <f t="shared" si="4"/>
        <v>99.89734249335483</v>
      </c>
      <c r="I19" s="50">
        <f t="shared" si="1"/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 t="shared" si="3"/>
        <v>-10946.949999999997</v>
      </c>
      <c r="P19" s="50">
        <f t="shared" si="5"/>
        <v>38.15282485875708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 t="shared" si="0"/>
        <v>6375.869999999995</v>
      </c>
      <c r="H20" s="35">
        <f t="shared" si="4"/>
        <v>104.53178318927189</v>
      </c>
      <c r="I20" s="50">
        <f t="shared" si="1"/>
        <v>-42801.830000000016</v>
      </c>
      <c r="J20" s="178">
        <f aca="true" t="shared" si="6" ref="J20:J46">F20/D20*100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 t="shared" si="3"/>
        <v>-7121.420000000013</v>
      </c>
      <c r="P20" s="50">
        <f t="shared" si="5"/>
        <v>77.19876026971814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 t="shared" si="0"/>
        <v>2618.5800000000017</v>
      </c>
      <c r="H21" s="35">
        <f t="shared" si="4"/>
        <v>103.39280878669817</v>
      </c>
      <c r="I21" s="50">
        <f t="shared" si="1"/>
        <v>-30501.119999999995</v>
      </c>
      <c r="J21" s="178">
        <f t="shared" si="6"/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 t="shared" si="3"/>
        <v>-7745.399999999994</v>
      </c>
      <c r="P21" s="50">
        <f t="shared" si="5"/>
        <v>60.637492313399875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 t="shared" si="0"/>
        <v>50.44000000000051</v>
      </c>
      <c r="H22" s="137">
        <f t="shared" si="4"/>
        <v>100.58492688413949</v>
      </c>
      <c r="I22" s="136">
        <f t="shared" si="1"/>
        <v>-2026.2600000000002</v>
      </c>
      <c r="J22" s="136">
        <f t="shared" si="6"/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 t="shared" si="3"/>
        <v>-7826.349999999999</v>
      </c>
      <c r="P22" s="136">
        <f t="shared" si="5"/>
        <v>2.7069529220173796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 t="shared" si="0"/>
        <v>1638.9499999999998</v>
      </c>
      <c r="H23" s="137"/>
      <c r="I23" s="136">
        <f t="shared" si="1"/>
        <v>1016.9499999999998</v>
      </c>
      <c r="J23" s="136">
        <f t="shared" si="6"/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 t="shared" si="3"/>
        <v>1240.75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 t="shared" si="0"/>
        <v>929.1900000000023</v>
      </c>
      <c r="H24" s="137">
        <f t="shared" si="4"/>
        <v>101.38521743019425</v>
      </c>
      <c r="I24" s="136">
        <f t="shared" si="1"/>
        <v>-29491.809999999998</v>
      </c>
      <c r="J24" s="136">
        <f t="shared" si="6"/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 t="shared" si="3"/>
        <v>-1159.7999999999956</v>
      </c>
      <c r="P24" s="136">
        <f t="shared" si="5"/>
        <v>88.98575498575502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 t="shared" si="0"/>
        <v>13.350000000000001</v>
      </c>
      <c r="H25" s="35">
        <f t="shared" si="4"/>
        <v>137.6056338028169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 t="shared" si="3"/>
        <v>1.6900000000000048</v>
      </c>
      <c r="P25" s="50">
        <f t="shared" si="5"/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 t="shared" si="0"/>
        <v>-614.57</v>
      </c>
      <c r="H26" s="35"/>
      <c r="I26" s="50">
        <f t="shared" si="1"/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 t="shared" si="3"/>
        <v>-84.21000000000004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 t="shared" si="0"/>
        <v>4358.509999999995</v>
      </c>
      <c r="H27" s="35">
        <f t="shared" si="4"/>
        <v>106.8663363607004</v>
      </c>
      <c r="I27" s="50">
        <f t="shared" si="1"/>
        <v>-11664.990000000005</v>
      </c>
      <c r="J27" s="178">
        <f t="shared" si="6"/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 t="shared" si="3"/>
        <v>706.4999999999927</v>
      </c>
      <c r="P27" s="50">
        <f t="shared" si="5"/>
        <v>106.11688311688306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 t="shared" si="0"/>
        <v>1351.3300000000017</v>
      </c>
      <c r="H29" s="137">
        <f t="shared" si="4"/>
        <v>108.6734916559692</v>
      </c>
      <c r="I29" s="136">
        <f t="shared" si="1"/>
        <v>-2268.6699999999983</v>
      </c>
      <c r="J29" s="136">
        <f t="shared" si="6"/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 t="shared" si="3"/>
        <v>512.4700000000012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 t="shared" si="0"/>
        <v>2991.5699999999997</v>
      </c>
      <c r="H30" s="137">
        <f t="shared" si="4"/>
        <v>106.245905233159</v>
      </c>
      <c r="I30" s="136">
        <f t="shared" si="1"/>
        <v>-9411.93</v>
      </c>
      <c r="J30" s="136">
        <f t="shared" si="6"/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 t="shared" si="3"/>
        <v>187.02999999999884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 t="shared" si="0"/>
        <v>1517.1500000000015</v>
      </c>
      <c r="H33" s="45">
        <f>F33/E33*100</f>
        <v>107.55169186966779</v>
      </c>
      <c r="I33" s="31">
        <f t="shared" si="1"/>
        <v>-7099.749999999996</v>
      </c>
      <c r="J33" s="31">
        <f t="shared" si="6"/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 t="shared" si="3"/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 t="shared" si="3"/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 t="shared" si="1"/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 t="shared" si="0"/>
        <v>26.730000000000473</v>
      </c>
      <c r="H42" s="35">
        <f>F42/E42*100</f>
        <v>100.51456291989913</v>
      </c>
      <c r="I42" s="50">
        <f t="shared" si="1"/>
        <v>-1878.5699999999997</v>
      </c>
      <c r="J42" s="50">
        <f t="shared" si="6"/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 t="shared" si="3"/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 t="shared" si="0"/>
        <v>-24.870000000000005</v>
      </c>
      <c r="H43" s="137">
        <f>F43/E43*100</f>
        <v>96.72763157894737</v>
      </c>
      <c r="I43" s="136">
        <f t="shared" si="1"/>
        <v>-364.87</v>
      </c>
      <c r="J43" s="136">
        <f t="shared" si="6"/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 t="shared" si="0"/>
        <v>56.10999999999967</v>
      </c>
      <c r="H46" s="137">
        <f>F46/E46*100</f>
        <v>101.2798813868613</v>
      </c>
      <c r="I46" s="136">
        <f t="shared" si="1"/>
        <v>-1477.8900000000003</v>
      </c>
      <c r="J46" s="136">
        <f t="shared" si="6"/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 t="shared" si="0"/>
        <v>492.6500000000001</v>
      </c>
      <c r="H48" s="35">
        <f>F48/E48*100</f>
        <v>118.24629629629631</v>
      </c>
      <c r="I48" s="50">
        <f t="shared" si="1"/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 t="shared" si="3"/>
        <v>230.73000000000002</v>
      </c>
      <c r="P48" s="50">
        <f aca="true" t="shared" si="7" ref="P48:P53">N48/M48*100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890.5</v>
      </c>
      <c r="G51" s="135">
        <f t="shared" si="0"/>
        <v>890.5</v>
      </c>
      <c r="H51" s="137"/>
      <c r="I51" s="136">
        <f t="shared" si="1"/>
        <v>890.5</v>
      </c>
      <c r="J51" s="136"/>
      <c r="K51" s="219">
        <f>F51-635.8</f>
        <v>254.70000000000005</v>
      </c>
      <c r="L51" s="219">
        <f>F51/635.8*100</f>
        <v>140.059767222397</v>
      </c>
      <c r="M51" s="137">
        <f>E51-липень!E51</f>
        <v>0</v>
      </c>
      <c r="N51" s="137">
        <f>F51-липень!F51</f>
        <v>207.29999999999995</v>
      </c>
      <c r="O51" s="138">
        <f t="shared" si="3"/>
        <v>207.29999999999995</v>
      </c>
      <c r="P51" s="136"/>
      <c r="Q51" s="50">
        <f>N51-64.93</f>
        <v>142.36999999999995</v>
      </c>
      <c r="R51" s="126">
        <f>N51/64.93</f>
        <v>3.192669028184197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 t="shared" si="8"/>
        <v>-406.98</v>
      </c>
      <c r="H64" s="35"/>
      <c r="I64" s="53">
        <f t="shared" si="9"/>
        <v>-1906.98</v>
      </c>
      <c r="J64" s="53">
        <f t="shared" si="11"/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 t="shared" si="8"/>
        <v>-974.7999999999997</v>
      </c>
      <c r="H65" s="35">
        <f>F65/E65*100</f>
        <v>79.40609789075175</v>
      </c>
      <c r="I65" s="53">
        <f t="shared" si="9"/>
        <v>-7817.360000000001</v>
      </c>
      <c r="J65" s="53">
        <f t="shared" si="11"/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 t="shared" si="10"/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 t="shared" si="8"/>
        <v>-579.8399999999992</v>
      </c>
      <c r="H67" s="65">
        <f>F67/E67*100</f>
        <v>91.43533220878743</v>
      </c>
      <c r="I67" s="54">
        <f t="shared" si="9"/>
        <v>-10885.7</v>
      </c>
      <c r="J67" s="54">
        <f t="shared" si="11"/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 t="shared" si="10"/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52"/>
      <c r="H78" s="252"/>
      <c r="I78" s="252"/>
      <c r="J78" s="252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53"/>
      <c r="O79" s="253"/>
    </row>
    <row r="80" spans="3:15" ht="15.75">
      <c r="C80" s="111">
        <v>42244</v>
      </c>
      <c r="D80" s="34">
        <v>8323.9</v>
      </c>
      <c r="F80" s="155" t="s">
        <v>166</v>
      </c>
      <c r="G80" s="254"/>
      <c r="H80" s="254"/>
      <c r="I80" s="177"/>
      <c r="J80" s="255"/>
      <c r="K80" s="255"/>
      <c r="L80" s="255"/>
      <c r="M80" s="255"/>
      <c r="N80" s="253"/>
      <c r="O80" s="253"/>
    </row>
    <row r="81" spans="3:15" ht="15.75" customHeight="1">
      <c r="C81" s="111">
        <v>42243</v>
      </c>
      <c r="D81" s="34">
        <v>4177.3</v>
      </c>
      <c r="F81" s="90"/>
      <c r="G81" s="254"/>
      <c r="H81" s="254"/>
      <c r="I81" s="177"/>
      <c r="J81" s="259"/>
      <c r="K81" s="259"/>
      <c r="L81" s="259"/>
      <c r="M81" s="259"/>
      <c r="N81" s="253"/>
      <c r="O81" s="253"/>
    </row>
    <row r="82" spans="3:13" ht="15.75" customHeight="1">
      <c r="C82" s="111"/>
      <c r="F82" s="90"/>
      <c r="G82" s="260"/>
      <c r="H82" s="260"/>
      <c r="I82" s="221"/>
      <c r="J82" s="255"/>
      <c r="K82" s="255"/>
      <c r="L82" s="255"/>
      <c r="M82" s="255"/>
    </row>
    <row r="83" spans="2:13" ht="18.75" customHeight="1">
      <c r="B83" s="261" t="s">
        <v>160</v>
      </c>
      <c r="C83" s="262"/>
      <c r="D83" s="108">
        <v>2162.07</v>
      </c>
      <c r="E83" s="220"/>
      <c r="F83" s="222"/>
      <c r="G83" s="254"/>
      <c r="H83" s="254"/>
      <c r="I83" s="223"/>
      <c r="J83" s="255"/>
      <c r="K83" s="255"/>
      <c r="L83" s="255"/>
      <c r="M83" s="255"/>
    </row>
    <row r="84" spans="6:12" ht="9.75" customHeight="1">
      <c r="F84" s="90"/>
      <c r="G84" s="254"/>
      <c r="H84" s="254"/>
      <c r="I84" s="90"/>
      <c r="J84" s="91"/>
      <c r="K84" s="91"/>
      <c r="L84" s="91"/>
    </row>
    <row r="85" spans="2:12" ht="22.5" customHeight="1" hidden="1">
      <c r="B85" s="263" t="s">
        <v>167</v>
      </c>
      <c r="C85" s="264"/>
      <c r="D85" s="110">
        <v>0</v>
      </c>
      <c r="E85" s="70" t="s">
        <v>104</v>
      </c>
      <c r="F85" s="90"/>
      <c r="G85" s="254"/>
      <c r="H85" s="254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4"/>
      <c r="O86" s="254"/>
    </row>
    <row r="87" spans="4:15" ht="15.75">
      <c r="D87" s="104"/>
      <c r="I87" s="34"/>
      <c r="N87" s="265"/>
      <c r="O87" s="265"/>
    </row>
    <row r="88" spans="14:15" ht="15.75">
      <c r="N88" s="254"/>
      <c r="O88" s="254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2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61" sqref="N6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9" t="s">
        <v>289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117"/>
      <c r="R1" s="118"/>
    </row>
    <row r="2" spans="2:18" s="1" customFormat="1" ht="15.75" customHeight="1">
      <c r="B2" s="230"/>
      <c r="C2" s="230"/>
      <c r="D2" s="230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1"/>
      <c r="B3" s="233"/>
      <c r="C3" s="234" t="s">
        <v>0</v>
      </c>
      <c r="D3" s="235" t="s">
        <v>261</v>
      </c>
      <c r="E3" s="40"/>
      <c r="F3" s="236" t="s">
        <v>107</v>
      </c>
      <c r="G3" s="237"/>
      <c r="H3" s="237"/>
      <c r="I3" s="237"/>
      <c r="J3" s="238"/>
      <c r="K3" s="114"/>
      <c r="L3" s="114"/>
      <c r="M3" s="239" t="s">
        <v>285</v>
      </c>
      <c r="N3" s="242" t="s">
        <v>286</v>
      </c>
      <c r="O3" s="242"/>
      <c r="P3" s="242"/>
      <c r="Q3" s="242"/>
      <c r="R3" s="242"/>
    </row>
    <row r="4" spans="1:18" ht="22.5" customHeight="1">
      <c r="A4" s="231"/>
      <c r="B4" s="233"/>
      <c r="C4" s="234"/>
      <c r="D4" s="235"/>
      <c r="E4" s="225" t="s">
        <v>282</v>
      </c>
      <c r="F4" s="244" t="s">
        <v>116</v>
      </c>
      <c r="G4" s="246" t="s">
        <v>283</v>
      </c>
      <c r="H4" s="248" t="s">
        <v>284</v>
      </c>
      <c r="I4" s="250" t="s">
        <v>217</v>
      </c>
      <c r="J4" s="240" t="s">
        <v>218</v>
      </c>
      <c r="K4" s="116" t="s">
        <v>172</v>
      </c>
      <c r="L4" s="121" t="s">
        <v>171</v>
      </c>
      <c r="M4" s="240"/>
      <c r="N4" s="256" t="s">
        <v>290</v>
      </c>
      <c r="O4" s="250" t="s">
        <v>136</v>
      </c>
      <c r="P4" s="258" t="s">
        <v>135</v>
      </c>
      <c r="Q4" s="122" t="s">
        <v>172</v>
      </c>
      <c r="R4" s="123" t="s">
        <v>171</v>
      </c>
    </row>
    <row r="5" spans="1:19" ht="92.25" customHeight="1">
      <c r="A5" s="232"/>
      <c r="B5" s="233"/>
      <c r="C5" s="234"/>
      <c r="D5" s="235"/>
      <c r="E5" s="226"/>
      <c r="F5" s="245"/>
      <c r="G5" s="247"/>
      <c r="H5" s="249"/>
      <c r="I5" s="251"/>
      <c r="J5" s="241"/>
      <c r="K5" s="227" t="s">
        <v>287</v>
      </c>
      <c r="L5" s="243"/>
      <c r="M5" s="241"/>
      <c r="N5" s="257"/>
      <c r="O5" s="251"/>
      <c r="P5" s="258"/>
      <c r="Q5" s="227" t="s">
        <v>176</v>
      </c>
      <c r="R5" s="24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2"/>
      <c r="H78" s="252"/>
      <c r="I78" s="252"/>
      <c r="J78" s="252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53"/>
      <c r="O79" s="253"/>
    </row>
    <row r="80" spans="3:15" ht="15.75">
      <c r="C80" s="111">
        <v>42215</v>
      </c>
      <c r="D80" s="34">
        <v>7239.9</v>
      </c>
      <c r="F80" s="155" t="s">
        <v>166</v>
      </c>
      <c r="G80" s="254"/>
      <c r="H80" s="254"/>
      <c r="I80" s="177"/>
      <c r="J80" s="255"/>
      <c r="K80" s="255"/>
      <c r="L80" s="255"/>
      <c r="M80" s="255"/>
      <c r="N80" s="253"/>
      <c r="O80" s="253"/>
    </row>
    <row r="81" spans="3:15" ht="15.75" customHeight="1">
      <c r="C81" s="111">
        <v>42214</v>
      </c>
      <c r="D81" s="34">
        <v>4823.1</v>
      </c>
      <c r="G81" s="266" t="s">
        <v>151</v>
      </c>
      <c r="H81" s="266"/>
      <c r="I81" s="106">
        <v>8909.73221</v>
      </c>
      <c r="J81" s="259"/>
      <c r="K81" s="259"/>
      <c r="L81" s="259"/>
      <c r="M81" s="259"/>
      <c r="N81" s="253"/>
      <c r="O81" s="253"/>
    </row>
    <row r="82" spans="3:13" ht="15.75" customHeight="1">
      <c r="C82" s="111"/>
      <c r="G82" s="267" t="s">
        <v>234</v>
      </c>
      <c r="H82" s="268"/>
      <c r="I82" s="103">
        <v>0</v>
      </c>
      <c r="J82" s="255"/>
      <c r="K82" s="255"/>
      <c r="L82" s="255"/>
      <c r="M82" s="255"/>
    </row>
    <row r="83" spans="2:13" ht="18.75" customHeight="1">
      <c r="B83" s="261" t="s">
        <v>160</v>
      </c>
      <c r="C83" s="262"/>
      <c r="D83" s="108">
        <v>24842.96012</v>
      </c>
      <c r="E83" s="73"/>
      <c r="F83" s="156" t="s">
        <v>147</v>
      </c>
      <c r="G83" s="266" t="s">
        <v>149</v>
      </c>
      <c r="H83" s="266"/>
      <c r="I83" s="107">
        <v>15933.22791</v>
      </c>
      <c r="J83" s="255"/>
      <c r="K83" s="255"/>
      <c r="L83" s="255"/>
      <c r="M83" s="255"/>
    </row>
    <row r="84" spans="7:12" ht="9.75" customHeight="1">
      <c r="G84" s="254"/>
      <c r="H84" s="254"/>
      <c r="I84" s="90"/>
      <c r="J84" s="91"/>
      <c r="K84" s="91"/>
      <c r="L84" s="91"/>
    </row>
    <row r="85" spans="2:12" ht="22.5" customHeight="1" hidden="1">
      <c r="B85" s="263" t="s">
        <v>167</v>
      </c>
      <c r="C85" s="264"/>
      <c r="D85" s="110">
        <v>0</v>
      </c>
      <c r="E85" s="70" t="s">
        <v>104</v>
      </c>
      <c r="G85" s="254"/>
      <c r="H85" s="254"/>
      <c r="I85" s="90"/>
      <c r="J85" s="91"/>
      <c r="K85" s="91"/>
      <c r="L85" s="91"/>
    </row>
    <row r="86" spans="4:15" ht="15.75">
      <c r="D86" s="105"/>
      <c r="N86" s="254"/>
      <c r="O86" s="254"/>
    </row>
    <row r="87" spans="4:15" ht="15.75">
      <c r="D87" s="104"/>
      <c r="I87" s="34"/>
      <c r="N87" s="265"/>
      <c r="O87" s="265"/>
    </row>
    <row r="88" spans="14:15" ht="15.75">
      <c r="N88" s="254"/>
      <c r="O88" s="254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2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6" sqref="H2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69" t="s">
        <v>280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117"/>
      <c r="R1" s="118"/>
    </row>
    <row r="2" spans="2:18" s="1" customFormat="1" ht="15.75" customHeight="1">
      <c r="B2" s="230"/>
      <c r="C2" s="230"/>
      <c r="D2" s="230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31"/>
      <c r="B3" s="233"/>
      <c r="C3" s="234" t="s">
        <v>0</v>
      </c>
      <c r="D3" s="235" t="s">
        <v>261</v>
      </c>
      <c r="E3" s="40"/>
      <c r="F3" s="236" t="s">
        <v>107</v>
      </c>
      <c r="G3" s="237"/>
      <c r="H3" s="237"/>
      <c r="I3" s="237"/>
      <c r="J3" s="238"/>
      <c r="K3" s="114"/>
      <c r="L3" s="114"/>
      <c r="M3" s="239" t="s">
        <v>277</v>
      </c>
      <c r="N3" s="242" t="s">
        <v>278</v>
      </c>
      <c r="O3" s="242"/>
      <c r="P3" s="242"/>
      <c r="Q3" s="242"/>
      <c r="R3" s="242"/>
    </row>
    <row r="4" spans="1:18" ht="22.5" customHeight="1">
      <c r="A4" s="231"/>
      <c r="B4" s="233"/>
      <c r="C4" s="234"/>
      <c r="D4" s="235"/>
      <c r="E4" s="225" t="s">
        <v>279</v>
      </c>
      <c r="F4" s="270" t="s">
        <v>116</v>
      </c>
      <c r="G4" s="246" t="s">
        <v>275</v>
      </c>
      <c r="H4" s="248" t="s">
        <v>276</v>
      </c>
      <c r="I4" s="250" t="s">
        <v>217</v>
      </c>
      <c r="J4" s="240" t="s">
        <v>218</v>
      </c>
      <c r="K4" s="116" t="s">
        <v>172</v>
      </c>
      <c r="L4" s="121" t="s">
        <v>171</v>
      </c>
      <c r="M4" s="240"/>
      <c r="N4" s="256" t="s">
        <v>281</v>
      </c>
      <c r="O4" s="250" t="s">
        <v>136</v>
      </c>
      <c r="P4" s="258" t="s">
        <v>135</v>
      </c>
      <c r="Q4" s="122" t="s">
        <v>172</v>
      </c>
      <c r="R4" s="123" t="s">
        <v>171</v>
      </c>
    </row>
    <row r="5" spans="1:19" ht="92.25" customHeight="1">
      <c r="A5" s="232"/>
      <c r="B5" s="233"/>
      <c r="C5" s="234"/>
      <c r="D5" s="235"/>
      <c r="E5" s="226"/>
      <c r="F5" s="271"/>
      <c r="G5" s="247"/>
      <c r="H5" s="249"/>
      <c r="I5" s="251"/>
      <c r="J5" s="241"/>
      <c r="K5" s="227" t="s">
        <v>288</v>
      </c>
      <c r="L5" s="243"/>
      <c r="M5" s="241"/>
      <c r="N5" s="257"/>
      <c r="O5" s="251"/>
      <c r="P5" s="258"/>
      <c r="Q5" s="227" t="s">
        <v>176</v>
      </c>
      <c r="R5" s="24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52"/>
      <c r="H78" s="252"/>
      <c r="I78" s="252"/>
      <c r="J78" s="252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53"/>
      <c r="O79" s="253"/>
    </row>
    <row r="80" spans="3:15" ht="15.75">
      <c r="C80" s="111">
        <v>42181</v>
      </c>
      <c r="D80" s="34">
        <v>8722.4</v>
      </c>
      <c r="F80" s="217" t="s">
        <v>166</v>
      </c>
      <c r="G80" s="254"/>
      <c r="H80" s="254"/>
      <c r="I80" s="177"/>
      <c r="J80" s="255"/>
      <c r="K80" s="255"/>
      <c r="L80" s="255"/>
      <c r="M80" s="255"/>
      <c r="N80" s="253"/>
      <c r="O80" s="253"/>
    </row>
    <row r="81" spans="3:15" ht="15.75" customHeight="1">
      <c r="C81" s="111">
        <v>42180</v>
      </c>
      <c r="D81" s="34">
        <v>4146.6</v>
      </c>
      <c r="G81" s="266" t="s">
        <v>151</v>
      </c>
      <c r="H81" s="266"/>
      <c r="I81" s="106">
        <v>8909.73221</v>
      </c>
      <c r="J81" s="259"/>
      <c r="K81" s="259"/>
      <c r="L81" s="259"/>
      <c r="M81" s="259"/>
      <c r="N81" s="253"/>
      <c r="O81" s="253"/>
    </row>
    <row r="82" spans="3:13" ht="15.75" customHeight="1">
      <c r="C82" s="111"/>
      <c r="G82" s="267" t="s">
        <v>234</v>
      </c>
      <c r="H82" s="268"/>
      <c r="I82" s="103">
        <v>0</v>
      </c>
      <c r="J82" s="255"/>
      <c r="K82" s="255"/>
      <c r="L82" s="255"/>
      <c r="M82" s="255"/>
    </row>
    <row r="83" spans="2:13" ht="18.75" customHeight="1">
      <c r="B83" s="261" t="s">
        <v>160</v>
      </c>
      <c r="C83" s="262"/>
      <c r="D83" s="108">
        <v>152943.93305000002</v>
      </c>
      <c r="E83" s="73"/>
      <c r="F83" s="218" t="s">
        <v>147</v>
      </c>
      <c r="G83" s="266" t="s">
        <v>149</v>
      </c>
      <c r="H83" s="266"/>
      <c r="I83" s="107">
        <v>144034.20084</v>
      </c>
      <c r="J83" s="255"/>
      <c r="K83" s="255"/>
      <c r="L83" s="255"/>
      <c r="M83" s="255"/>
    </row>
    <row r="84" spans="7:12" ht="9.75" customHeight="1">
      <c r="G84" s="254"/>
      <c r="H84" s="254"/>
      <c r="I84" s="90"/>
      <c r="J84" s="91"/>
      <c r="K84" s="91"/>
      <c r="L84" s="91"/>
    </row>
    <row r="85" spans="2:12" ht="22.5" customHeight="1" hidden="1">
      <c r="B85" s="263" t="s">
        <v>167</v>
      </c>
      <c r="C85" s="264"/>
      <c r="D85" s="110">
        <v>0</v>
      </c>
      <c r="E85" s="70" t="s">
        <v>104</v>
      </c>
      <c r="G85" s="254"/>
      <c r="H85" s="254"/>
      <c r="I85" s="90"/>
      <c r="J85" s="91"/>
      <c r="K85" s="91"/>
      <c r="L85" s="91"/>
    </row>
    <row r="86" spans="4:15" ht="15.75">
      <c r="D86" s="105"/>
      <c r="N86" s="254"/>
      <c r="O86" s="254"/>
    </row>
    <row r="87" spans="4:15" ht="15.75">
      <c r="D87" s="104"/>
      <c r="I87" s="34"/>
      <c r="N87" s="265"/>
      <c r="O87" s="265"/>
    </row>
    <row r="88" spans="14:15" ht="15.75">
      <c r="N88" s="254"/>
      <c r="O88" s="254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55" sqref="N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9" t="s">
        <v>274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117"/>
      <c r="R1" s="118"/>
    </row>
    <row r="2" spans="2:18" s="1" customFormat="1" ht="15.75" customHeight="1">
      <c r="B2" s="230"/>
      <c r="C2" s="230"/>
      <c r="D2" s="230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1"/>
      <c r="B3" s="233"/>
      <c r="C3" s="234" t="s">
        <v>0</v>
      </c>
      <c r="D3" s="235" t="s">
        <v>261</v>
      </c>
      <c r="E3" s="40"/>
      <c r="F3" s="236" t="s">
        <v>107</v>
      </c>
      <c r="G3" s="237"/>
      <c r="H3" s="237"/>
      <c r="I3" s="237"/>
      <c r="J3" s="238"/>
      <c r="K3" s="114"/>
      <c r="L3" s="114"/>
      <c r="M3" s="239" t="s">
        <v>266</v>
      </c>
      <c r="N3" s="242" t="s">
        <v>267</v>
      </c>
      <c r="O3" s="242"/>
      <c r="P3" s="242"/>
      <c r="Q3" s="242"/>
      <c r="R3" s="242"/>
    </row>
    <row r="4" spans="1:18" ht="22.5" customHeight="1">
      <c r="A4" s="231"/>
      <c r="B4" s="233"/>
      <c r="C4" s="234"/>
      <c r="D4" s="235"/>
      <c r="E4" s="225" t="s">
        <v>262</v>
      </c>
      <c r="F4" s="244" t="s">
        <v>116</v>
      </c>
      <c r="G4" s="246" t="s">
        <v>263</v>
      </c>
      <c r="H4" s="248" t="s">
        <v>264</v>
      </c>
      <c r="I4" s="250" t="s">
        <v>217</v>
      </c>
      <c r="J4" s="240" t="s">
        <v>218</v>
      </c>
      <c r="K4" s="116" t="s">
        <v>172</v>
      </c>
      <c r="L4" s="121" t="s">
        <v>171</v>
      </c>
      <c r="M4" s="240"/>
      <c r="N4" s="256" t="s">
        <v>273</v>
      </c>
      <c r="O4" s="250" t="s">
        <v>136</v>
      </c>
      <c r="P4" s="258" t="s">
        <v>135</v>
      </c>
      <c r="Q4" s="122" t="s">
        <v>172</v>
      </c>
      <c r="R4" s="123" t="s">
        <v>171</v>
      </c>
    </row>
    <row r="5" spans="1:19" ht="92.25" customHeight="1">
      <c r="A5" s="232"/>
      <c r="B5" s="233"/>
      <c r="C5" s="234"/>
      <c r="D5" s="235"/>
      <c r="E5" s="226"/>
      <c r="F5" s="245"/>
      <c r="G5" s="247"/>
      <c r="H5" s="249"/>
      <c r="I5" s="251"/>
      <c r="J5" s="241"/>
      <c r="K5" s="227" t="s">
        <v>265</v>
      </c>
      <c r="L5" s="243"/>
      <c r="M5" s="241"/>
      <c r="N5" s="257"/>
      <c r="O5" s="251"/>
      <c r="P5" s="258"/>
      <c r="Q5" s="227" t="s">
        <v>176</v>
      </c>
      <c r="R5" s="24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2"/>
      <c r="H78" s="252"/>
      <c r="I78" s="252"/>
      <c r="J78" s="252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53"/>
      <c r="O79" s="253"/>
    </row>
    <row r="80" spans="3:15" ht="15.75">
      <c r="C80" s="111">
        <v>42152</v>
      </c>
      <c r="D80" s="34">
        <v>5845.4</v>
      </c>
      <c r="F80" s="155" t="s">
        <v>166</v>
      </c>
      <c r="G80" s="254"/>
      <c r="H80" s="254"/>
      <c r="I80" s="177"/>
      <c r="J80" s="255"/>
      <c r="K80" s="255"/>
      <c r="L80" s="255"/>
      <c r="M80" s="255"/>
      <c r="N80" s="253"/>
      <c r="O80" s="253"/>
    </row>
    <row r="81" spans="3:15" ht="15.75" customHeight="1">
      <c r="C81" s="111">
        <v>42151</v>
      </c>
      <c r="D81" s="34">
        <v>3158.7</v>
      </c>
      <c r="G81" s="266" t="s">
        <v>151</v>
      </c>
      <c r="H81" s="266"/>
      <c r="I81" s="106">
        <v>8909.73221</v>
      </c>
      <c r="J81" s="259"/>
      <c r="K81" s="259"/>
      <c r="L81" s="259"/>
      <c r="M81" s="259"/>
      <c r="N81" s="253"/>
      <c r="O81" s="253"/>
    </row>
    <row r="82" spans="7:13" ht="15.75" customHeight="1">
      <c r="G82" s="267" t="s">
        <v>234</v>
      </c>
      <c r="H82" s="268"/>
      <c r="I82" s="103">
        <v>0</v>
      </c>
      <c r="J82" s="255"/>
      <c r="K82" s="255"/>
      <c r="L82" s="255"/>
      <c r="M82" s="255"/>
    </row>
    <row r="83" spans="2:13" ht="18.75" customHeight="1">
      <c r="B83" s="261" t="s">
        <v>160</v>
      </c>
      <c r="C83" s="262"/>
      <c r="D83" s="108">
        <v>153606.78</v>
      </c>
      <c r="E83" s="73"/>
      <c r="F83" s="156" t="s">
        <v>147</v>
      </c>
      <c r="G83" s="266" t="s">
        <v>149</v>
      </c>
      <c r="H83" s="266"/>
      <c r="I83" s="107">
        <v>144697.05</v>
      </c>
      <c r="J83" s="255"/>
      <c r="K83" s="255"/>
      <c r="L83" s="255"/>
      <c r="M83" s="255"/>
    </row>
    <row r="84" spans="7:12" ht="9.75" customHeight="1">
      <c r="G84" s="254"/>
      <c r="H84" s="254"/>
      <c r="I84" s="90"/>
      <c r="J84" s="91"/>
      <c r="K84" s="91"/>
      <c r="L84" s="91"/>
    </row>
    <row r="85" spans="2:12" ht="22.5" customHeight="1" hidden="1">
      <c r="B85" s="263" t="s">
        <v>167</v>
      </c>
      <c r="C85" s="264"/>
      <c r="D85" s="110">
        <v>0</v>
      </c>
      <c r="E85" s="70" t="s">
        <v>104</v>
      </c>
      <c r="G85" s="254"/>
      <c r="H85" s="254"/>
      <c r="I85" s="90"/>
      <c r="J85" s="91"/>
      <c r="K85" s="91"/>
      <c r="L85" s="91"/>
    </row>
    <row r="86" spans="4:15" ht="15.75">
      <c r="D86" s="105"/>
      <c r="N86" s="254"/>
      <c r="O86" s="254"/>
    </row>
    <row r="87" spans="4:15" ht="15.75">
      <c r="D87" s="104"/>
      <c r="I87" s="34"/>
      <c r="N87" s="265"/>
      <c r="O87" s="265"/>
    </row>
    <row r="88" spans="14:15" ht="15.75">
      <c r="N88" s="254"/>
      <c r="O88" s="254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9" t="s">
        <v>259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117"/>
      <c r="R1" s="118"/>
    </row>
    <row r="2" spans="2:18" s="1" customFormat="1" ht="15.75" customHeight="1">
      <c r="B2" s="230"/>
      <c r="C2" s="230"/>
      <c r="D2" s="230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31"/>
      <c r="B3" s="233"/>
      <c r="C3" s="234" t="s">
        <v>0</v>
      </c>
      <c r="D3" s="235" t="s">
        <v>261</v>
      </c>
      <c r="E3" s="40"/>
      <c r="F3" s="236" t="s">
        <v>107</v>
      </c>
      <c r="G3" s="237"/>
      <c r="H3" s="237"/>
      <c r="I3" s="237"/>
      <c r="J3" s="238"/>
      <c r="K3" s="114"/>
      <c r="L3" s="114"/>
      <c r="M3" s="239" t="s">
        <v>240</v>
      </c>
      <c r="N3" s="242" t="s">
        <v>241</v>
      </c>
      <c r="O3" s="242"/>
      <c r="P3" s="242"/>
      <c r="Q3" s="242"/>
      <c r="R3" s="242"/>
    </row>
    <row r="4" spans="1:18" ht="22.5" customHeight="1">
      <c r="A4" s="231"/>
      <c r="B4" s="233"/>
      <c r="C4" s="234"/>
      <c r="D4" s="235"/>
      <c r="E4" s="225" t="s">
        <v>237</v>
      </c>
      <c r="F4" s="272" t="s">
        <v>116</v>
      </c>
      <c r="G4" s="246" t="s">
        <v>238</v>
      </c>
      <c r="H4" s="248" t="s">
        <v>239</v>
      </c>
      <c r="I4" s="250" t="s">
        <v>217</v>
      </c>
      <c r="J4" s="240" t="s">
        <v>218</v>
      </c>
      <c r="K4" s="116" t="s">
        <v>172</v>
      </c>
      <c r="L4" s="121" t="s">
        <v>171</v>
      </c>
      <c r="M4" s="240"/>
      <c r="N4" s="256" t="s">
        <v>260</v>
      </c>
      <c r="O4" s="250" t="s">
        <v>136</v>
      </c>
      <c r="P4" s="258" t="s">
        <v>135</v>
      </c>
      <c r="Q4" s="122" t="s">
        <v>172</v>
      </c>
      <c r="R4" s="123" t="s">
        <v>171</v>
      </c>
    </row>
    <row r="5" spans="1:19" ht="92.25" customHeight="1">
      <c r="A5" s="232"/>
      <c r="B5" s="233"/>
      <c r="C5" s="234"/>
      <c r="D5" s="235"/>
      <c r="E5" s="226"/>
      <c r="F5" s="273"/>
      <c r="G5" s="247"/>
      <c r="H5" s="249"/>
      <c r="I5" s="251"/>
      <c r="J5" s="241"/>
      <c r="K5" s="227" t="s">
        <v>242</v>
      </c>
      <c r="L5" s="243"/>
      <c r="M5" s="241"/>
      <c r="N5" s="257"/>
      <c r="O5" s="251"/>
      <c r="P5" s="258"/>
      <c r="Q5" s="227" t="s">
        <v>176</v>
      </c>
      <c r="R5" s="24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52"/>
      <c r="H103" s="252"/>
      <c r="I103" s="252"/>
      <c r="J103" s="252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53"/>
      <c r="O104" s="253"/>
    </row>
    <row r="105" spans="3:15" ht="15.75">
      <c r="C105" s="111">
        <v>42123</v>
      </c>
      <c r="D105" s="34">
        <v>7959.6</v>
      </c>
      <c r="F105" s="201" t="s">
        <v>166</v>
      </c>
      <c r="G105" s="254"/>
      <c r="H105" s="254"/>
      <c r="I105" s="177"/>
      <c r="J105" s="255"/>
      <c r="K105" s="255"/>
      <c r="L105" s="255"/>
      <c r="M105" s="255"/>
      <c r="N105" s="253"/>
      <c r="O105" s="253"/>
    </row>
    <row r="106" spans="3:15" ht="15.75" customHeight="1">
      <c r="C106" s="111">
        <v>42122</v>
      </c>
      <c r="D106" s="34">
        <v>4962.7</v>
      </c>
      <c r="G106" s="266" t="s">
        <v>151</v>
      </c>
      <c r="H106" s="266"/>
      <c r="I106" s="106">
        <v>8909.73221</v>
      </c>
      <c r="J106" s="259"/>
      <c r="K106" s="259"/>
      <c r="L106" s="259"/>
      <c r="M106" s="259"/>
      <c r="N106" s="253"/>
      <c r="O106" s="253"/>
    </row>
    <row r="107" spans="7:13" ht="15.75" customHeight="1">
      <c r="G107" s="267" t="s">
        <v>234</v>
      </c>
      <c r="H107" s="268"/>
      <c r="I107" s="103">
        <v>0</v>
      </c>
      <c r="J107" s="255"/>
      <c r="K107" s="255"/>
      <c r="L107" s="255"/>
      <c r="M107" s="255"/>
    </row>
    <row r="108" spans="2:13" ht="18.75" customHeight="1">
      <c r="B108" s="261" t="s">
        <v>160</v>
      </c>
      <c r="C108" s="262"/>
      <c r="D108" s="108">
        <v>154856.06924</v>
      </c>
      <c r="E108" s="73"/>
      <c r="F108" s="202" t="s">
        <v>147</v>
      </c>
      <c r="G108" s="266" t="s">
        <v>149</v>
      </c>
      <c r="H108" s="266"/>
      <c r="I108" s="107">
        <v>145946.33703</v>
      </c>
      <c r="J108" s="255"/>
      <c r="K108" s="255"/>
      <c r="L108" s="255"/>
      <c r="M108" s="255"/>
    </row>
    <row r="109" spans="7:12" ht="9.75" customHeight="1">
      <c r="G109" s="254"/>
      <c r="H109" s="254"/>
      <c r="I109" s="90"/>
      <c r="J109" s="91"/>
      <c r="K109" s="91"/>
      <c r="L109" s="91"/>
    </row>
    <row r="110" spans="2:12" ht="22.5" customHeight="1" hidden="1">
      <c r="B110" s="263" t="s">
        <v>167</v>
      </c>
      <c r="C110" s="264"/>
      <c r="D110" s="110">
        <v>0</v>
      </c>
      <c r="E110" s="70" t="s">
        <v>104</v>
      </c>
      <c r="G110" s="254"/>
      <c r="H110" s="254"/>
      <c r="I110" s="90"/>
      <c r="J110" s="91"/>
      <c r="K110" s="91"/>
      <c r="L110" s="91"/>
    </row>
    <row r="111" spans="4:15" ht="15.75">
      <c r="D111" s="105"/>
      <c r="N111" s="254"/>
      <c r="O111" s="254"/>
    </row>
    <row r="112" spans="4:15" ht="15.75">
      <c r="D112" s="104"/>
      <c r="I112" s="34"/>
      <c r="N112" s="265"/>
      <c r="O112" s="265"/>
    </row>
    <row r="113" spans="14:15" ht="15.75">
      <c r="N113" s="254"/>
      <c r="O113" s="254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9" t="s">
        <v>235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117"/>
      <c r="R1" s="118"/>
    </row>
    <row r="2" spans="2:18" s="1" customFormat="1" ht="15.75" customHeight="1">
      <c r="B2" s="230"/>
      <c r="C2" s="230"/>
      <c r="D2" s="230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1"/>
      <c r="B3" s="233"/>
      <c r="C3" s="234" t="s">
        <v>0</v>
      </c>
      <c r="D3" s="235" t="s">
        <v>216</v>
      </c>
      <c r="E3" s="40"/>
      <c r="F3" s="236" t="s">
        <v>107</v>
      </c>
      <c r="G3" s="237"/>
      <c r="H3" s="237"/>
      <c r="I3" s="237"/>
      <c r="J3" s="238"/>
      <c r="K3" s="114"/>
      <c r="L3" s="114"/>
      <c r="M3" s="239" t="s">
        <v>231</v>
      </c>
      <c r="N3" s="242" t="s">
        <v>232</v>
      </c>
      <c r="O3" s="242"/>
      <c r="P3" s="242"/>
      <c r="Q3" s="242"/>
      <c r="R3" s="242"/>
    </row>
    <row r="4" spans="1:18" ht="22.5" customHeight="1">
      <c r="A4" s="231"/>
      <c r="B4" s="233"/>
      <c r="C4" s="234"/>
      <c r="D4" s="235"/>
      <c r="E4" s="225" t="s">
        <v>228</v>
      </c>
      <c r="F4" s="244" t="s">
        <v>116</v>
      </c>
      <c r="G4" s="246" t="s">
        <v>229</v>
      </c>
      <c r="H4" s="248" t="s">
        <v>230</v>
      </c>
      <c r="I4" s="250" t="s">
        <v>217</v>
      </c>
      <c r="J4" s="240" t="s">
        <v>218</v>
      </c>
      <c r="K4" s="116" t="s">
        <v>172</v>
      </c>
      <c r="L4" s="121" t="s">
        <v>171</v>
      </c>
      <c r="M4" s="240"/>
      <c r="N4" s="256" t="s">
        <v>236</v>
      </c>
      <c r="O4" s="250" t="s">
        <v>136</v>
      </c>
      <c r="P4" s="258" t="s">
        <v>135</v>
      </c>
      <c r="Q4" s="122" t="s">
        <v>172</v>
      </c>
      <c r="R4" s="123" t="s">
        <v>171</v>
      </c>
    </row>
    <row r="5" spans="1:19" ht="92.25" customHeight="1">
      <c r="A5" s="232"/>
      <c r="B5" s="233"/>
      <c r="C5" s="234"/>
      <c r="D5" s="235"/>
      <c r="E5" s="226"/>
      <c r="F5" s="245"/>
      <c r="G5" s="247"/>
      <c r="H5" s="249"/>
      <c r="I5" s="251"/>
      <c r="J5" s="241"/>
      <c r="K5" s="227" t="s">
        <v>233</v>
      </c>
      <c r="L5" s="243"/>
      <c r="M5" s="241"/>
      <c r="N5" s="257"/>
      <c r="O5" s="251"/>
      <c r="P5" s="258"/>
      <c r="Q5" s="227" t="s">
        <v>176</v>
      </c>
      <c r="R5" s="24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52"/>
      <c r="H104" s="252"/>
      <c r="I104" s="252"/>
      <c r="J104" s="252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53"/>
      <c r="O105" s="253"/>
    </row>
    <row r="106" spans="3:15" ht="15.75">
      <c r="C106" s="111">
        <v>42093</v>
      </c>
      <c r="D106" s="34">
        <v>8025</v>
      </c>
      <c r="F106" s="155" t="s">
        <v>166</v>
      </c>
      <c r="G106" s="254"/>
      <c r="H106" s="254"/>
      <c r="I106" s="177"/>
      <c r="J106" s="255"/>
      <c r="K106" s="255"/>
      <c r="L106" s="255"/>
      <c r="M106" s="255"/>
      <c r="N106" s="253"/>
      <c r="O106" s="253"/>
    </row>
    <row r="107" spans="3:15" ht="15.75" customHeight="1">
      <c r="C107" s="111">
        <v>42090</v>
      </c>
      <c r="D107" s="34">
        <v>4282.6</v>
      </c>
      <c r="G107" s="266" t="s">
        <v>151</v>
      </c>
      <c r="H107" s="266"/>
      <c r="I107" s="106">
        <f>8909732.21/1000</f>
        <v>8909.73221</v>
      </c>
      <c r="J107" s="259"/>
      <c r="K107" s="259"/>
      <c r="L107" s="259"/>
      <c r="M107" s="259"/>
      <c r="N107" s="253"/>
      <c r="O107" s="253"/>
    </row>
    <row r="108" spans="7:13" ht="15.75" customHeight="1">
      <c r="G108" s="267" t="s">
        <v>234</v>
      </c>
      <c r="H108" s="268"/>
      <c r="I108" s="103">
        <v>0</v>
      </c>
      <c r="J108" s="255"/>
      <c r="K108" s="255"/>
      <c r="L108" s="255"/>
      <c r="M108" s="255"/>
    </row>
    <row r="109" spans="2:13" ht="18.75" customHeight="1">
      <c r="B109" s="261" t="s">
        <v>160</v>
      </c>
      <c r="C109" s="262"/>
      <c r="D109" s="108">
        <f>147433239.77/1000</f>
        <v>147433.23977000001</v>
      </c>
      <c r="E109" s="73"/>
      <c r="F109" s="156" t="s">
        <v>147</v>
      </c>
      <c r="G109" s="266" t="s">
        <v>149</v>
      </c>
      <c r="H109" s="266"/>
      <c r="I109" s="107">
        <f>138523507.56/1000</f>
        <v>138523.50756</v>
      </c>
      <c r="J109" s="255"/>
      <c r="K109" s="255"/>
      <c r="L109" s="255"/>
      <c r="M109" s="255"/>
    </row>
    <row r="110" spans="7:12" ht="9.75" customHeight="1">
      <c r="G110" s="254"/>
      <c r="H110" s="254"/>
      <c r="I110" s="90"/>
      <c r="J110" s="91"/>
      <c r="K110" s="91"/>
      <c r="L110" s="91"/>
    </row>
    <row r="111" spans="2:12" ht="22.5" customHeight="1" hidden="1">
      <c r="B111" s="263" t="s">
        <v>167</v>
      </c>
      <c r="C111" s="264"/>
      <c r="D111" s="110">
        <v>0</v>
      </c>
      <c r="E111" s="70" t="s">
        <v>104</v>
      </c>
      <c r="G111" s="254"/>
      <c r="H111" s="254"/>
      <c r="I111" s="90"/>
      <c r="J111" s="91"/>
      <c r="K111" s="91"/>
      <c r="L111" s="91"/>
    </row>
    <row r="112" spans="4:15" ht="15.75">
      <c r="D112" s="105"/>
      <c r="N112" s="254"/>
      <c r="O112" s="254"/>
    </row>
    <row r="113" spans="4:15" ht="15.75">
      <c r="D113" s="104"/>
      <c r="I113" s="34"/>
      <c r="N113" s="265"/>
      <c r="O113" s="265"/>
    </row>
    <row r="114" spans="14:15" ht="15.75">
      <c r="N114" s="254"/>
      <c r="O114" s="254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2015-11-12T08:44:51Z</cp:lastPrinted>
  <dcterms:created xsi:type="dcterms:W3CDTF">2003-07-28T11:27:56Z</dcterms:created>
  <dcterms:modified xsi:type="dcterms:W3CDTF">2015-11-13T11:50:27Z</dcterms:modified>
  <cp:category/>
  <cp:version/>
  <cp:contentType/>
  <cp:contentStatus/>
</cp:coreProperties>
</file>